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zalia.giuchici\Documents\BVC\BVC 2015\rectificare BVC - mai 2015\"/>
    </mc:Choice>
  </mc:AlternateContent>
  <bookViews>
    <workbookView xWindow="-15" yWindow="5475" windowWidth="19230" windowHeight="5415" activeTab="5"/>
  </bookViews>
  <sheets>
    <sheet name="anexa nr.4pozitii modif." sheetId="33" r:id="rId1"/>
    <sheet name="anexa 4 lei (2)" sheetId="31" r:id="rId2"/>
    <sheet name="anexa 1" sheetId="1" r:id="rId3"/>
    <sheet name="anexa 2" sheetId="4" r:id="rId4"/>
    <sheet name="anexa 3" sheetId="3" r:id="rId5"/>
    <sheet name="anexa nr.4" sheetId="5" r:id="rId6"/>
    <sheet name="anexa 6" sheetId="8" r:id="rId7"/>
    <sheet name="anexa 7" sheetId="7" r:id="rId8"/>
    <sheet name="anexa 8" sheetId="2" r:id="rId9"/>
    <sheet name="anexa 4 lei" sheetId="13" r:id="rId10"/>
    <sheet name="a.4.Centralizat" sheetId="23" r:id="rId11"/>
    <sheet name="a.4.Timisoara" sheetId="22" r:id="rId12"/>
    <sheet name="a.4.Loc.TM" sheetId="21" r:id="rId13"/>
    <sheet name="a.4.Deta" sheetId="26" r:id="rId14"/>
    <sheet name="a.4.Jimbolia" sheetId="27" r:id="rId15"/>
    <sheet name="a.4.Sannicolau" sheetId="28" r:id="rId16"/>
    <sheet name="a.4.Faget" sheetId="29" r:id="rId17"/>
    <sheet name="a.4.Buzias" sheetId="25" r:id="rId18"/>
    <sheet name="corelatii" sheetId="10" r:id="rId19"/>
  </sheets>
  <externalReferences>
    <externalReference r:id="rId20"/>
    <externalReference r:id="rId21"/>
    <externalReference r:id="rId22"/>
  </externalReferences>
  <calcPr calcId="152511"/>
</workbook>
</file>

<file path=xl/calcChain.xml><?xml version="1.0" encoding="utf-8"?>
<calcChain xmlns="http://schemas.openxmlformats.org/spreadsheetml/2006/main">
  <c r="M117" i="21" l="1"/>
  <c r="L117" i="21"/>
  <c r="N162" i="33"/>
  <c r="M162" i="33"/>
  <c r="N161" i="33"/>
  <c r="M161" i="33"/>
  <c r="N160" i="33"/>
  <c r="M160" i="33"/>
  <c r="N159" i="33"/>
  <c r="M159" i="33"/>
  <c r="N158" i="33"/>
  <c r="M158" i="33"/>
  <c r="N157" i="33"/>
  <c r="M157" i="33"/>
  <c r="N156" i="33"/>
  <c r="M156" i="33"/>
  <c r="N155" i="33"/>
  <c r="M155" i="33"/>
  <c r="N154" i="33"/>
  <c r="M154" i="33"/>
  <c r="N153" i="33"/>
  <c r="M153" i="33"/>
  <c r="N152" i="33"/>
  <c r="M152" i="33"/>
  <c r="N151" i="33"/>
  <c r="M151" i="33"/>
  <c r="N150" i="33"/>
  <c r="M150" i="33"/>
  <c r="N149" i="33"/>
  <c r="M149" i="33"/>
  <c r="N148" i="33"/>
  <c r="M148" i="33"/>
  <c r="N147" i="33"/>
  <c r="M147" i="33"/>
  <c r="N146" i="33"/>
  <c r="M146" i="33"/>
  <c r="N145" i="33"/>
  <c r="M145" i="33"/>
  <c r="N144" i="33"/>
  <c r="M144" i="33"/>
  <c r="N143" i="33"/>
  <c r="M143" i="33"/>
  <c r="N142" i="33"/>
  <c r="M142" i="33"/>
  <c r="F142" i="33"/>
  <c r="F143" i="33" s="1"/>
  <c r="F144" i="33" s="1"/>
  <c r="F145" i="33" s="1"/>
  <c r="F146" i="33" s="1"/>
  <c r="F147" i="33" s="1"/>
  <c r="F148" i="33" s="1"/>
  <c r="F149" i="33" s="1"/>
  <c r="F150" i="33" s="1"/>
  <c r="F151" i="33" s="1"/>
  <c r="F152" i="33" s="1"/>
  <c r="F153" i="33" s="1"/>
  <c r="F154" i="33" s="1"/>
  <c r="F155" i="33" s="1"/>
  <c r="F156" i="33" s="1"/>
  <c r="F157" i="33" s="1"/>
  <c r="F158" i="33" s="1"/>
  <c r="F159" i="33" s="1"/>
  <c r="F160" i="33" s="1"/>
  <c r="F161" i="33" s="1"/>
  <c r="F162" i="33" s="1"/>
  <c r="N141" i="33"/>
  <c r="M141" i="33"/>
  <c r="N140" i="33"/>
  <c r="M140" i="33"/>
  <c r="N139" i="33"/>
  <c r="M139" i="33"/>
  <c r="N138" i="33"/>
  <c r="M138" i="33"/>
  <c r="N137" i="33"/>
  <c r="M137" i="33"/>
  <c r="N136" i="33"/>
  <c r="M136" i="33"/>
  <c r="N135" i="33"/>
  <c r="M135" i="33"/>
  <c r="N134" i="33"/>
  <c r="M134" i="33"/>
  <c r="N133" i="33"/>
  <c r="M133" i="33"/>
  <c r="N132" i="33"/>
  <c r="M132" i="33"/>
  <c r="N131" i="33"/>
  <c r="M131" i="33"/>
  <c r="N130" i="33"/>
  <c r="M130" i="33"/>
  <c r="N129" i="33"/>
  <c r="M129" i="33"/>
  <c r="N128" i="33"/>
  <c r="M128" i="33"/>
  <c r="N127" i="33"/>
  <c r="M127" i="33"/>
  <c r="N126" i="33"/>
  <c r="M126" i="33"/>
  <c r="N125" i="33"/>
  <c r="M125" i="33"/>
  <c r="N124" i="33"/>
  <c r="M124" i="33"/>
  <c r="N123" i="33"/>
  <c r="M123" i="33"/>
  <c r="N122" i="33"/>
  <c r="M122" i="33"/>
  <c r="N121" i="33"/>
  <c r="M121" i="33"/>
  <c r="N120" i="33"/>
  <c r="M120" i="33"/>
  <c r="N119" i="33"/>
  <c r="M119" i="33"/>
  <c r="N118" i="33"/>
  <c r="M118" i="33"/>
  <c r="N117" i="33"/>
  <c r="M117" i="33"/>
  <c r="N116" i="33"/>
  <c r="M116" i="33"/>
  <c r="N115" i="33"/>
  <c r="M115" i="33"/>
  <c r="N114" i="33"/>
  <c r="M114" i="33"/>
  <c r="N113" i="33"/>
  <c r="M113" i="33"/>
  <c r="N112" i="33"/>
  <c r="M112" i="33"/>
  <c r="N111" i="33"/>
  <c r="M111" i="33"/>
  <c r="N110" i="33"/>
  <c r="M110" i="33"/>
  <c r="N109" i="33"/>
  <c r="M109" i="33"/>
  <c r="N108" i="33"/>
  <c r="M108" i="33"/>
  <c r="N107" i="33"/>
  <c r="M107" i="33"/>
  <c r="N106" i="33"/>
  <c r="M106" i="33"/>
  <c r="N105" i="33"/>
  <c r="M105" i="33"/>
  <c r="N104" i="33"/>
  <c r="M104" i="33"/>
  <c r="N103" i="33"/>
  <c r="M103" i="33"/>
  <c r="N102" i="33"/>
  <c r="M102" i="33"/>
  <c r="N101" i="33"/>
  <c r="M101" i="33"/>
  <c r="N100" i="33"/>
  <c r="M100" i="33"/>
  <c r="N99" i="33"/>
  <c r="M99" i="33"/>
  <c r="N98" i="33"/>
  <c r="M98" i="33"/>
  <c r="N97" i="33"/>
  <c r="M97" i="33"/>
  <c r="N96" i="33"/>
  <c r="M96" i="33"/>
  <c r="N95" i="33"/>
  <c r="M95" i="33"/>
  <c r="N94" i="33"/>
  <c r="M94" i="33"/>
  <c r="N93" i="33"/>
  <c r="M93" i="33"/>
  <c r="N92" i="33"/>
  <c r="M92" i="33"/>
  <c r="N91" i="33"/>
  <c r="M91" i="33"/>
  <c r="N90" i="33"/>
  <c r="M90" i="33"/>
  <c r="N89" i="33"/>
  <c r="M89" i="33"/>
  <c r="N88" i="33"/>
  <c r="M88" i="33"/>
  <c r="N87" i="33"/>
  <c r="M87" i="33"/>
  <c r="N86" i="33"/>
  <c r="M86" i="33"/>
  <c r="N85" i="33"/>
  <c r="M85" i="33"/>
  <c r="N84" i="33"/>
  <c r="M84" i="33"/>
  <c r="N83" i="33"/>
  <c r="M83" i="33"/>
  <c r="N82" i="33"/>
  <c r="M82" i="33"/>
  <c r="N81" i="33"/>
  <c r="M81" i="33"/>
  <c r="N80" i="33"/>
  <c r="M80" i="33"/>
  <c r="N79" i="33"/>
  <c r="M79" i="33"/>
  <c r="N78" i="33"/>
  <c r="M78" i="33"/>
  <c r="N77" i="33"/>
  <c r="M77" i="33"/>
  <c r="N76" i="33"/>
  <c r="M76" i="33"/>
  <c r="N75" i="33"/>
  <c r="M75" i="33"/>
  <c r="N74" i="33"/>
  <c r="M74" i="33"/>
  <c r="N73" i="33"/>
  <c r="M73" i="33"/>
  <c r="N72" i="33"/>
  <c r="M72" i="33"/>
  <c r="N71" i="33"/>
  <c r="M71" i="33"/>
  <c r="N70" i="33"/>
  <c r="M70" i="33"/>
  <c r="N69" i="33"/>
  <c r="M69" i="33"/>
  <c r="N68" i="33"/>
  <c r="M68" i="33"/>
  <c r="N67" i="33"/>
  <c r="M67" i="33"/>
  <c r="N66" i="33"/>
  <c r="M66" i="33"/>
  <c r="N65" i="33"/>
  <c r="M65" i="33"/>
  <c r="N64" i="33"/>
  <c r="M64" i="33"/>
  <c r="N63" i="33"/>
  <c r="M63" i="33"/>
  <c r="N62" i="33"/>
  <c r="M62" i="33"/>
  <c r="N61" i="33"/>
  <c r="M61" i="33"/>
  <c r="N60" i="33"/>
  <c r="M60" i="33"/>
  <c r="N59" i="33"/>
  <c r="M59" i="33"/>
  <c r="N58" i="33"/>
  <c r="M58" i="33"/>
  <c r="N57" i="33"/>
  <c r="M57" i="33"/>
  <c r="N56" i="33"/>
  <c r="M56" i="33"/>
  <c r="N55" i="33"/>
  <c r="M55" i="33"/>
  <c r="N54" i="33"/>
  <c r="M54" i="33"/>
  <c r="N53" i="33"/>
  <c r="M53" i="33"/>
  <c r="N52" i="33"/>
  <c r="M52" i="33"/>
  <c r="N51" i="33"/>
  <c r="M51" i="33"/>
  <c r="N50" i="33"/>
  <c r="M50" i="33"/>
  <c r="N49" i="33"/>
  <c r="M49" i="33"/>
  <c r="N48" i="33"/>
  <c r="M48" i="33"/>
  <c r="N47" i="33"/>
  <c r="M47" i="33"/>
  <c r="N46" i="33"/>
  <c r="M46" i="33"/>
  <c r="N45" i="33"/>
  <c r="M45" i="33"/>
  <c r="N44" i="33"/>
  <c r="M44" i="33"/>
  <c r="N43" i="33"/>
  <c r="M43" i="33"/>
  <c r="N42" i="33"/>
  <c r="M42" i="33"/>
  <c r="N41" i="33"/>
  <c r="M41" i="33"/>
  <c r="N40" i="33"/>
  <c r="M40" i="33"/>
  <c r="N39" i="33"/>
  <c r="M39" i="33"/>
  <c r="N38" i="33"/>
  <c r="M38" i="33"/>
  <c r="N37" i="33"/>
  <c r="M37" i="33"/>
  <c r="N36" i="33"/>
  <c r="M36" i="33"/>
  <c r="N35" i="33"/>
  <c r="M35" i="33"/>
  <c r="N34" i="33"/>
  <c r="M34" i="33"/>
  <c r="N33" i="33"/>
  <c r="M33" i="33"/>
  <c r="N32" i="33"/>
  <c r="M32" i="33"/>
  <c r="N31" i="33"/>
  <c r="M31" i="33"/>
  <c r="N30" i="33"/>
  <c r="M30" i="33"/>
  <c r="N29" i="33"/>
  <c r="M29" i="33"/>
  <c r="N28" i="33"/>
  <c r="M28" i="33"/>
  <c r="N27" i="33"/>
  <c r="M27" i="33"/>
  <c r="N26" i="33"/>
  <c r="M26" i="33"/>
  <c r="N25" i="33"/>
  <c r="M25" i="33"/>
  <c r="N24" i="33"/>
  <c r="M24" i="33"/>
  <c r="N23" i="33"/>
  <c r="M23" i="33"/>
  <c r="N22" i="33"/>
  <c r="M22" i="33"/>
  <c r="N21" i="33"/>
  <c r="M21" i="33"/>
  <c r="N20" i="33"/>
  <c r="M20" i="33"/>
  <c r="N19" i="33"/>
  <c r="M19" i="33"/>
  <c r="N18" i="33"/>
  <c r="M18" i="33"/>
  <c r="N17" i="33"/>
  <c r="M17" i="33"/>
  <c r="N16" i="33"/>
  <c r="M16" i="33"/>
  <c r="N15" i="33"/>
  <c r="M15" i="33"/>
  <c r="N14" i="33"/>
  <c r="M14" i="33"/>
  <c r="N13" i="33"/>
  <c r="M13" i="33"/>
  <c r="N12" i="33"/>
  <c r="M12" i="33"/>
  <c r="N11" i="33"/>
  <c r="M11" i="33"/>
  <c r="F11" i="33"/>
  <c r="F12" i="33" s="1"/>
  <c r="F13" i="33" s="1"/>
  <c r="F14" i="33" s="1"/>
  <c r="F15" i="33" s="1"/>
  <c r="F16" i="33" s="1"/>
  <c r="F17" i="33" s="1"/>
  <c r="F18" i="33" s="1"/>
  <c r="F19" i="33" s="1"/>
  <c r="F20" i="33" s="1"/>
  <c r="F21" i="33" s="1"/>
  <c r="F22" i="33" s="1"/>
  <c r="F23" i="33" s="1"/>
  <c r="F24" i="33" s="1"/>
  <c r="F25" i="33" s="1"/>
  <c r="F26" i="33" s="1"/>
  <c r="F27" i="33" s="1"/>
  <c r="F28" i="33" s="1"/>
  <c r="F29" i="33" s="1"/>
  <c r="F30" i="33" s="1"/>
  <c r="F31" i="33" s="1"/>
  <c r="F32" i="33" s="1"/>
  <c r="F33" i="33" s="1"/>
  <c r="F34" i="33" s="1"/>
  <c r="F35" i="33" s="1"/>
  <c r="F36" i="33" s="1"/>
  <c r="F37" i="33" s="1"/>
  <c r="F38" i="33" s="1"/>
  <c r="F39" i="33" s="1"/>
  <c r="F40" i="33" s="1"/>
  <c r="F41" i="33" s="1"/>
  <c r="F42" i="33" s="1"/>
  <c r="F43" i="33" s="1"/>
  <c r="F44" i="33" s="1"/>
  <c r="F45" i="33" s="1"/>
  <c r="F46" i="33" s="1"/>
  <c r="F47" i="33" s="1"/>
  <c r="F48" i="33" s="1"/>
  <c r="F49" i="33" s="1"/>
  <c r="F50" i="33" s="1"/>
  <c r="F51" i="33" s="1"/>
  <c r="F52" i="33" s="1"/>
  <c r="F53" i="33" s="1"/>
  <c r="F54" i="33" s="1"/>
  <c r="F55" i="33" s="1"/>
  <c r="F56" i="33" s="1"/>
  <c r="F57" i="33" s="1"/>
  <c r="F58" i="33" s="1"/>
  <c r="F59" i="33" s="1"/>
  <c r="F60" i="33" s="1"/>
  <c r="F61" i="33" s="1"/>
  <c r="F62" i="33" s="1"/>
  <c r="F63" i="33" s="1"/>
  <c r="F64" i="33" s="1"/>
  <c r="F65" i="33" s="1"/>
  <c r="F66" i="33" s="1"/>
  <c r="F67" i="33" s="1"/>
  <c r="F68" i="33" s="1"/>
  <c r="F69" i="33" s="1"/>
  <c r="F70" i="33" s="1"/>
  <c r="F71" i="33" s="1"/>
  <c r="F72" i="33" s="1"/>
  <c r="F73" i="33" s="1"/>
  <c r="F74" i="33" s="1"/>
  <c r="F75" i="33" s="1"/>
  <c r="F76" i="33" s="1"/>
  <c r="F77" i="33" s="1"/>
  <c r="F78" i="33" s="1"/>
  <c r="F79" i="33" s="1"/>
  <c r="F80" i="33" s="1"/>
  <c r="F81" i="33" s="1"/>
  <c r="F82" i="33" s="1"/>
  <c r="F83" i="33" s="1"/>
  <c r="F84" i="33" s="1"/>
  <c r="F85" i="33" s="1"/>
  <c r="F86" i="33" s="1"/>
  <c r="F87" i="33" s="1"/>
  <c r="F88" i="33" s="1"/>
  <c r="F89" i="33" s="1"/>
  <c r="F90" i="33" s="1"/>
  <c r="F91" i="33" s="1"/>
  <c r="F92" i="33" s="1"/>
  <c r="F93" i="33" s="1"/>
  <c r="F94" i="33" s="1"/>
  <c r="F95" i="33" s="1"/>
  <c r="F96" i="33" s="1"/>
  <c r="F97" i="33" s="1"/>
  <c r="F98" i="33" s="1"/>
  <c r="F99" i="33" s="1"/>
  <c r="F100" i="33" s="1"/>
  <c r="F101" i="33" s="1"/>
  <c r="F102" i="33" s="1"/>
  <c r="F103" i="33" s="1"/>
  <c r="F104" i="33" s="1"/>
  <c r="F105" i="33" s="1"/>
  <c r="F106" i="33" s="1"/>
  <c r="F107" i="33" s="1"/>
  <c r="F108" i="33" s="1"/>
  <c r="F109" i="33" s="1"/>
  <c r="F110" i="33" s="1"/>
  <c r="F111" i="33" s="1"/>
  <c r="F112" i="33" s="1"/>
  <c r="F113" i="33" s="1"/>
  <c r="F114" i="33" s="1"/>
  <c r="F115" i="33" s="1"/>
  <c r="F116" i="33" s="1"/>
  <c r="F117" i="33" s="1"/>
  <c r="F118" i="33" s="1"/>
  <c r="F119" i="33" s="1"/>
  <c r="F120" i="33" s="1"/>
  <c r="F121" i="33" s="1"/>
  <c r="F122" i="33" s="1"/>
  <c r="F123" i="33" s="1"/>
  <c r="F124" i="33" s="1"/>
  <c r="F125" i="33" s="1"/>
  <c r="F126" i="33" s="1"/>
  <c r="F127" i="33" s="1"/>
  <c r="F128" i="33" s="1"/>
  <c r="F129" i="33" s="1"/>
  <c r="F130" i="33" s="1"/>
  <c r="F131" i="33" s="1"/>
  <c r="F132" i="33" s="1"/>
  <c r="F133" i="33" s="1"/>
  <c r="F134" i="33" s="1"/>
  <c r="F135" i="33" s="1"/>
  <c r="F136" i="33" s="1"/>
  <c r="F137" i="33" s="1"/>
  <c r="F138" i="33" s="1"/>
  <c r="F139" i="33" s="1"/>
  <c r="N10" i="33"/>
  <c r="M10" i="33"/>
  <c r="L163" i="31"/>
  <c r="L162" i="31"/>
  <c r="L161" i="31"/>
  <c r="K161" i="31"/>
  <c r="J161" i="31"/>
  <c r="I161" i="31"/>
  <c r="H161" i="31"/>
  <c r="G161" i="31"/>
  <c r="O161" i="31" s="1"/>
  <c r="L160" i="31"/>
  <c r="O159" i="31"/>
  <c r="F158" i="31"/>
  <c r="F142" i="31"/>
  <c r="F143" i="31" s="1"/>
  <c r="F144" i="31" s="1"/>
  <c r="F145" i="31" s="1"/>
  <c r="F146" i="31" s="1"/>
  <c r="F147" i="31" s="1"/>
  <c r="F148" i="31" s="1"/>
  <c r="F149" i="31" s="1"/>
  <c r="F150" i="31" s="1"/>
  <c r="F151" i="31" s="1"/>
  <c r="F152" i="31" s="1"/>
  <c r="F153" i="31" s="1"/>
  <c r="F154" i="31" s="1"/>
  <c r="F155" i="31" s="1"/>
  <c r="L128" i="31"/>
  <c r="L127" i="31"/>
  <c r="L126" i="31"/>
  <c r="L121" i="31"/>
  <c r="L120" i="31"/>
  <c r="L119" i="31"/>
  <c r="L118" i="31"/>
  <c r="L116" i="31"/>
  <c r="L115" i="31"/>
  <c r="L112" i="31"/>
  <c r="L111" i="31"/>
  <c r="L110" i="31"/>
  <c r="L107" i="31"/>
  <c r="L104" i="31"/>
  <c r="L100" i="31"/>
  <c r="L99" i="31"/>
  <c r="L98" i="31"/>
  <c r="L29" i="31"/>
  <c r="L28" i="31"/>
  <c r="L27" i="31"/>
  <c r="L26" i="31"/>
  <c r="L13" i="31"/>
  <c r="F11" i="31"/>
  <c r="F12" i="31" s="1"/>
  <c r="F13" i="31" s="1"/>
  <c r="F14" i="31" s="1"/>
  <c r="F15" i="31" s="1"/>
  <c r="F16" i="31" s="1"/>
  <c r="F17" i="31" s="1"/>
  <c r="F18" i="31" s="1"/>
  <c r="F19" i="31" s="1"/>
  <c r="F20" i="31" s="1"/>
  <c r="F21" i="31" s="1"/>
  <c r="F22" i="31" s="1"/>
  <c r="F23" i="31" s="1"/>
  <c r="F24" i="31" s="1"/>
  <c r="F25" i="31" s="1"/>
  <c r="F26" i="31" s="1"/>
  <c r="F27" i="31" s="1"/>
  <c r="F28" i="31" s="1"/>
  <c r="F29" i="31" s="1"/>
  <c r="F30" i="31" s="1"/>
  <c r="F31" i="31" s="1"/>
  <c r="F32" i="31" s="1"/>
  <c r="F33" i="31" s="1"/>
  <c r="F34" i="31" s="1"/>
  <c r="F35" i="31" s="1"/>
  <c r="F36" i="31" s="1"/>
  <c r="F37" i="31" s="1"/>
  <c r="F38" i="31" s="1"/>
  <c r="F39" i="31" s="1"/>
  <c r="F40" i="31" s="1"/>
  <c r="F41" i="31" s="1"/>
  <c r="F42" i="31" s="1"/>
  <c r="F43" i="31" s="1"/>
  <c r="F44" i="31" s="1"/>
  <c r="F45" i="31" s="1"/>
  <c r="F46" i="31" s="1"/>
  <c r="F47" i="31" s="1"/>
  <c r="F48" i="31" s="1"/>
  <c r="F49" i="31" s="1"/>
  <c r="F50" i="31" s="1"/>
  <c r="F51" i="31" s="1"/>
  <c r="F52" i="31" s="1"/>
  <c r="F53" i="31" s="1"/>
  <c r="F54" i="31" s="1"/>
  <c r="F55" i="31" s="1"/>
  <c r="F56" i="31" s="1"/>
  <c r="F57" i="31" s="1"/>
  <c r="F58" i="31" s="1"/>
  <c r="F59" i="31" s="1"/>
  <c r="F60" i="31" s="1"/>
  <c r="F61" i="31" s="1"/>
  <c r="F62" i="31" s="1"/>
  <c r="F63" i="31" s="1"/>
  <c r="F64" i="31" s="1"/>
  <c r="F65" i="31" s="1"/>
  <c r="F66" i="31" s="1"/>
  <c r="F67" i="31" s="1"/>
  <c r="F68" i="31" s="1"/>
  <c r="F69" i="31" s="1"/>
  <c r="F70" i="31" s="1"/>
  <c r="F71" i="31" s="1"/>
  <c r="F72" i="31" s="1"/>
  <c r="F73" i="31" s="1"/>
  <c r="F74" i="31" s="1"/>
  <c r="F75" i="31" s="1"/>
  <c r="F76" i="31" s="1"/>
  <c r="F77" i="31" s="1"/>
  <c r="F78" i="31" s="1"/>
  <c r="F79" i="31" s="1"/>
  <c r="F80" i="31" s="1"/>
  <c r="F81" i="31" s="1"/>
  <c r="F82" i="31" s="1"/>
  <c r="F83" i="31" s="1"/>
  <c r="F84" i="31" s="1"/>
  <c r="F85" i="31" s="1"/>
  <c r="F86" i="31" s="1"/>
  <c r="F87" i="31" s="1"/>
  <c r="F88" i="31" s="1"/>
  <c r="F89" i="31" s="1"/>
  <c r="F90" i="31" s="1"/>
  <c r="F91" i="31" s="1"/>
  <c r="F92" i="31" s="1"/>
  <c r="F93" i="31" s="1"/>
  <c r="F94" i="31" s="1"/>
  <c r="F95" i="31" s="1"/>
  <c r="F96" i="31" s="1"/>
  <c r="F97" i="31" s="1"/>
  <c r="F98" i="31" s="1"/>
  <c r="F99" i="31" s="1"/>
  <c r="F100" i="31" s="1"/>
  <c r="F101" i="31" s="1"/>
  <c r="F102" i="31" s="1"/>
  <c r="F103" i="31" s="1"/>
  <c r="F104" i="31" s="1"/>
  <c r="F105" i="31" s="1"/>
  <c r="F106" i="31" s="1"/>
  <c r="F107" i="31" s="1"/>
  <c r="F108" i="31" s="1"/>
  <c r="F109" i="31" s="1"/>
  <c r="F110" i="31" s="1"/>
  <c r="F111" i="31" s="1"/>
  <c r="F112" i="31" s="1"/>
  <c r="F113" i="31" s="1"/>
  <c r="F114" i="31" s="1"/>
  <c r="F115" i="31" s="1"/>
  <c r="F116" i="31" s="1"/>
  <c r="F117" i="31" s="1"/>
  <c r="F118" i="31" s="1"/>
  <c r="F119" i="31" s="1"/>
  <c r="F120" i="31" s="1"/>
  <c r="F121" i="31" s="1"/>
  <c r="F122" i="31" s="1"/>
  <c r="F123" i="31" s="1"/>
  <c r="F124" i="31" s="1"/>
  <c r="F125" i="31" s="1"/>
  <c r="F126" i="31" s="1"/>
  <c r="F127" i="31" s="1"/>
  <c r="F128" i="31" s="1"/>
  <c r="F129" i="31" s="1"/>
  <c r="F130" i="31" s="1"/>
  <c r="F131" i="31" s="1"/>
  <c r="F132" i="31" s="1"/>
  <c r="F133" i="31" s="1"/>
  <c r="F134" i="31" s="1"/>
  <c r="F135" i="31" s="1"/>
  <c r="F136" i="31" s="1"/>
  <c r="F137" i="31" s="1"/>
  <c r="F138" i="31" s="1"/>
  <c r="F139" i="31" s="1"/>
  <c r="N11" i="5" l="1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O159" i="5"/>
  <c r="N160" i="5"/>
  <c r="N161" i="5"/>
  <c r="N162" i="5"/>
  <c r="N10" i="5"/>
  <c r="O159" i="13"/>
  <c r="O159" i="33" s="1"/>
  <c r="Q194" i="23"/>
  <c r="Q195" i="23"/>
  <c r="Q197" i="23"/>
  <c r="M117" i="22" l="1"/>
  <c r="L117" i="22"/>
  <c r="P20" i="22"/>
  <c r="P25" i="22"/>
  <c r="P64" i="22"/>
  <c r="P85" i="22"/>
  <c r="P176" i="22"/>
  <c r="P195" i="22"/>
  <c r="P196" i="22"/>
  <c r="P197" i="22"/>
  <c r="P198" i="22"/>
  <c r="M114" i="22"/>
  <c r="L114" i="22"/>
  <c r="M69" i="1" l="1"/>
  <c r="J179" i="4"/>
  <c r="H56" i="1" l="1"/>
  <c r="H57" i="1"/>
  <c r="N172" i="23"/>
  <c r="I138" i="27"/>
  <c r="N114" i="23"/>
  <c r="M114" i="23"/>
  <c r="N99" i="23"/>
  <c r="N82" i="23"/>
  <c r="N80" i="23"/>
  <c r="N74" i="23"/>
  <c r="N67" i="23"/>
  <c r="N57" i="23"/>
  <c r="N56" i="23"/>
  <c r="N51" i="23"/>
  <c r="N48" i="23"/>
  <c r="N45" i="23"/>
  <c r="N14" i="23"/>
  <c r="N19" i="23"/>
  <c r="N17" i="23"/>
  <c r="N18" i="23"/>
  <c r="K143" i="22" l="1"/>
  <c r="G174" i="4"/>
  <c r="M193" i="27" l="1"/>
  <c r="L193" i="27"/>
  <c r="K193" i="27"/>
  <c r="J193" i="27"/>
  <c r="I190" i="27"/>
  <c r="I189" i="27"/>
  <c r="I188" i="27"/>
  <c r="I187" i="27"/>
  <c r="I186" i="27" s="1"/>
  <c r="M186" i="27"/>
  <c r="L186" i="27"/>
  <c r="K186" i="27"/>
  <c r="J186" i="27"/>
  <c r="I185" i="27"/>
  <c r="I183" i="27" s="1"/>
  <c r="I184" i="27"/>
  <c r="M183" i="27"/>
  <c r="M182" i="27" s="1"/>
  <c r="L183" i="27"/>
  <c r="L182" i="27" s="1"/>
  <c r="K183" i="27"/>
  <c r="K182" i="27" s="1"/>
  <c r="J183" i="27"/>
  <c r="J182" i="27"/>
  <c r="I181" i="27"/>
  <c r="I180" i="27"/>
  <c r="I179" i="27"/>
  <c r="M178" i="27"/>
  <c r="M177" i="27" s="1"/>
  <c r="L178" i="27"/>
  <c r="L177" i="27" s="1"/>
  <c r="L173" i="27" s="1"/>
  <c r="K178" i="27"/>
  <c r="K177" i="27" s="1"/>
  <c r="J178" i="27"/>
  <c r="J177" i="27" s="1"/>
  <c r="J192" i="27" s="1"/>
  <c r="I175" i="27"/>
  <c r="I174" i="27"/>
  <c r="I193" i="27" s="1"/>
  <c r="I172" i="27"/>
  <c r="I171" i="27"/>
  <c r="I170" i="27"/>
  <c r="I169" i="27"/>
  <c r="I168" i="27"/>
  <c r="I167" i="27"/>
  <c r="M166" i="27"/>
  <c r="L166" i="27"/>
  <c r="K166" i="27"/>
  <c r="J166" i="27"/>
  <c r="I164" i="27"/>
  <c r="I163" i="27"/>
  <c r="I162" i="27"/>
  <c r="H159" i="27"/>
  <c r="H158" i="27" s="1"/>
  <c r="I157" i="27"/>
  <c r="I156" i="27"/>
  <c r="I155" i="27"/>
  <c r="I154" i="27"/>
  <c r="M153" i="27"/>
  <c r="L153" i="27"/>
  <c r="L149" i="27" s="1"/>
  <c r="K153" i="27"/>
  <c r="J153" i="27"/>
  <c r="I152" i="27"/>
  <c r="I151" i="27"/>
  <c r="M150" i="27"/>
  <c r="L150" i="27"/>
  <c r="K150" i="27"/>
  <c r="J150" i="27"/>
  <c r="K149" i="27"/>
  <c r="I148" i="27"/>
  <c r="I147" i="27"/>
  <c r="I146" i="27"/>
  <c r="M145" i="27"/>
  <c r="L145" i="27"/>
  <c r="K145" i="27"/>
  <c r="J145" i="27"/>
  <c r="I144" i="27"/>
  <c r="I143" i="27"/>
  <c r="I142" i="27"/>
  <c r="I141" i="27"/>
  <c r="I140" i="27"/>
  <c r="M137" i="27"/>
  <c r="L137" i="27"/>
  <c r="K137" i="27"/>
  <c r="J137" i="27"/>
  <c r="I136" i="27"/>
  <c r="I135" i="27"/>
  <c r="I134" i="27"/>
  <c r="M133" i="27"/>
  <c r="L133" i="27"/>
  <c r="K133" i="27"/>
  <c r="J133" i="27"/>
  <c r="M132" i="27"/>
  <c r="I130" i="27"/>
  <c r="I129" i="27"/>
  <c r="I128" i="27"/>
  <c r="I127" i="27"/>
  <c r="I126" i="27"/>
  <c r="I125" i="27"/>
  <c r="I124" i="27"/>
  <c r="I123" i="27"/>
  <c r="I122" i="27"/>
  <c r="M121" i="27"/>
  <c r="M115" i="27" s="1"/>
  <c r="L121" i="27"/>
  <c r="L115" i="27" s="1"/>
  <c r="K121" i="27"/>
  <c r="J121" i="27"/>
  <c r="I120" i="27"/>
  <c r="I119" i="27"/>
  <c r="I118" i="27"/>
  <c r="I117" i="27"/>
  <c r="I116" i="27"/>
  <c r="J115" i="27"/>
  <c r="I114" i="27"/>
  <c r="I113" i="27"/>
  <c r="I112" i="27"/>
  <c r="I111" i="27"/>
  <c r="M110" i="27"/>
  <c r="L110" i="27"/>
  <c r="K110" i="27"/>
  <c r="J110" i="27"/>
  <c r="I109" i="27"/>
  <c r="I108" i="27"/>
  <c r="I107" i="27"/>
  <c r="I106" i="27"/>
  <c r="I105" i="27"/>
  <c r="I104" i="27"/>
  <c r="I103" i="27"/>
  <c r="I102" i="27"/>
  <c r="M101" i="27"/>
  <c r="L101" i="27"/>
  <c r="K101" i="27"/>
  <c r="J101" i="27"/>
  <c r="I100" i="27"/>
  <c r="I99" i="27"/>
  <c r="I98" i="27"/>
  <c r="I97" i="27"/>
  <c r="I96" i="27" s="1"/>
  <c r="M96" i="27"/>
  <c r="L96" i="27"/>
  <c r="K96" i="27"/>
  <c r="J96" i="27"/>
  <c r="I95" i="27"/>
  <c r="I94" i="27"/>
  <c r="I93" i="27"/>
  <c r="I92" i="27"/>
  <c r="M91" i="27"/>
  <c r="L91" i="27"/>
  <c r="K91" i="27"/>
  <c r="J91" i="27"/>
  <c r="I90" i="27"/>
  <c r="I89" i="27"/>
  <c r="I88" i="27"/>
  <c r="I87" i="27"/>
  <c r="M86" i="27"/>
  <c r="L86" i="27"/>
  <c r="L75" i="27" s="1"/>
  <c r="K86" i="27"/>
  <c r="J86" i="27"/>
  <c r="I84" i="27"/>
  <c r="I83" i="27"/>
  <c r="I82" i="27"/>
  <c r="I81" i="27"/>
  <c r="I80" i="27"/>
  <c r="M79" i="27"/>
  <c r="M75" i="27" s="1"/>
  <c r="L79" i="27"/>
  <c r="K79" i="27"/>
  <c r="J79" i="27"/>
  <c r="I78" i="27"/>
  <c r="I77" i="27"/>
  <c r="I76" i="27"/>
  <c r="I74" i="27"/>
  <c r="I73" i="27"/>
  <c r="I72" i="27"/>
  <c r="I71" i="27"/>
  <c r="M70" i="27"/>
  <c r="M65" i="27" s="1"/>
  <c r="L70" i="27"/>
  <c r="I70" i="27" s="1"/>
  <c r="K70" i="27"/>
  <c r="J70" i="27"/>
  <c r="I69" i="27"/>
  <c r="I68" i="27"/>
  <c r="I67" i="27"/>
  <c r="I66" i="27"/>
  <c r="L65" i="27"/>
  <c r="K65" i="27"/>
  <c r="J65" i="27"/>
  <c r="I63" i="27"/>
  <c r="I62" i="27"/>
  <c r="I61" i="27"/>
  <c r="I60" i="27"/>
  <c r="I59" i="27"/>
  <c r="M58" i="27"/>
  <c r="L58" i="27"/>
  <c r="K58" i="27"/>
  <c r="J58" i="27"/>
  <c r="I57" i="27"/>
  <c r="I56" i="27"/>
  <c r="I55" i="27"/>
  <c r="M54" i="27"/>
  <c r="L54" i="27"/>
  <c r="K54" i="27"/>
  <c r="J54" i="27"/>
  <c r="I53" i="27"/>
  <c r="I52" i="27"/>
  <c r="I51" i="27"/>
  <c r="I50" i="27"/>
  <c r="I49" i="27"/>
  <c r="I48" i="27"/>
  <c r="M47" i="27"/>
  <c r="L47" i="27"/>
  <c r="K47" i="27"/>
  <c r="K46" i="27" s="1"/>
  <c r="J47" i="27"/>
  <c r="J46" i="27" s="1"/>
  <c r="J44" i="27" s="1"/>
  <c r="I45" i="27"/>
  <c r="I40" i="27"/>
  <c r="I39" i="27"/>
  <c r="I38" i="27"/>
  <c r="I37" i="27"/>
  <c r="I36" i="27"/>
  <c r="I35" i="27"/>
  <c r="M34" i="27"/>
  <c r="L34" i="27"/>
  <c r="K34" i="27"/>
  <c r="J34" i="27"/>
  <c r="I33" i="27"/>
  <c r="I32" i="27"/>
  <c r="I31" i="27"/>
  <c r="I30" i="27"/>
  <c r="I29" i="27"/>
  <c r="M28" i="27"/>
  <c r="L28" i="27"/>
  <c r="K28" i="27"/>
  <c r="K26" i="27" s="1"/>
  <c r="K11" i="27" s="1"/>
  <c r="K10" i="27" s="1"/>
  <c r="J28" i="27"/>
  <c r="J26" i="27" s="1"/>
  <c r="I27" i="27"/>
  <c r="M26" i="27"/>
  <c r="L26" i="27"/>
  <c r="I24" i="27"/>
  <c r="I23" i="27"/>
  <c r="I22" i="27"/>
  <c r="M21" i="27"/>
  <c r="L21" i="27"/>
  <c r="K21" i="27"/>
  <c r="J21" i="27"/>
  <c r="I21" i="27"/>
  <c r="I19" i="27"/>
  <c r="I18" i="27"/>
  <c r="I17" i="27"/>
  <c r="I16" i="27"/>
  <c r="I15" i="27"/>
  <c r="I14" i="27"/>
  <c r="I13" i="27"/>
  <c r="M12" i="27"/>
  <c r="M11" i="27" s="1"/>
  <c r="M10" i="27" s="1"/>
  <c r="L12" i="27"/>
  <c r="K12" i="27"/>
  <c r="J12" i="27"/>
  <c r="O185" i="23"/>
  <c r="L149" i="31" s="1"/>
  <c r="O188" i="23"/>
  <c r="L152" i="31" s="1"/>
  <c r="O190" i="23"/>
  <c r="L154" i="31" s="1"/>
  <c r="O181" i="23"/>
  <c r="L145" i="31" s="1"/>
  <c r="O179" i="23"/>
  <c r="L143" i="31" s="1"/>
  <c r="O175" i="23"/>
  <c r="L139" i="31" s="1"/>
  <c r="O176" i="23"/>
  <c r="L140" i="31" s="1"/>
  <c r="O174" i="23"/>
  <c r="L138" i="31" s="1"/>
  <c r="O170" i="23"/>
  <c r="L134" i="31" s="1"/>
  <c r="O144" i="23"/>
  <c r="L108" i="31" s="1"/>
  <c r="O142" i="23"/>
  <c r="L106" i="31" s="1"/>
  <c r="O141" i="23"/>
  <c r="L105" i="31" s="1"/>
  <c r="O139" i="23"/>
  <c r="L103" i="31" s="1"/>
  <c r="O124" i="23"/>
  <c r="O125" i="23"/>
  <c r="O126" i="23"/>
  <c r="O127" i="23"/>
  <c r="O128" i="23"/>
  <c r="O130" i="23"/>
  <c r="O122" i="23"/>
  <c r="O117" i="23"/>
  <c r="L90" i="31" s="1"/>
  <c r="O118" i="23"/>
  <c r="L91" i="31" s="1"/>
  <c r="O119" i="23"/>
  <c r="L92" i="31" s="1"/>
  <c r="O120" i="23"/>
  <c r="L93" i="31" s="1"/>
  <c r="O116" i="23"/>
  <c r="L89" i="31" s="1"/>
  <c r="O113" i="23"/>
  <c r="O114" i="23"/>
  <c r="O111" i="23"/>
  <c r="O103" i="23"/>
  <c r="L80" i="31" s="1"/>
  <c r="O104" i="23"/>
  <c r="L81" i="31" s="1"/>
  <c r="O105" i="23"/>
  <c r="L82" i="31" s="1"/>
  <c r="O106" i="23"/>
  <c r="L83" i="31" s="1"/>
  <c r="O107" i="23"/>
  <c r="L84" i="31" s="1"/>
  <c r="O108" i="23"/>
  <c r="L85" i="31" s="1"/>
  <c r="O109" i="23"/>
  <c r="L86" i="31" s="1"/>
  <c r="O102" i="23"/>
  <c r="L79" i="31" s="1"/>
  <c r="O98" i="23"/>
  <c r="L75" i="31" s="1"/>
  <c r="O97" i="23"/>
  <c r="L74" i="31" s="1"/>
  <c r="O94" i="23"/>
  <c r="O88" i="23"/>
  <c r="L68" i="31" s="1"/>
  <c r="O89" i="23"/>
  <c r="L69" i="31" s="1"/>
  <c r="O90" i="23"/>
  <c r="L70" i="31" s="1"/>
  <c r="O87" i="23"/>
  <c r="L67" i="31" s="1"/>
  <c r="O81" i="23"/>
  <c r="L61" i="31" s="1"/>
  <c r="O83" i="23"/>
  <c r="L63" i="31" s="1"/>
  <c r="O84" i="23"/>
  <c r="L64" i="31" s="1"/>
  <c r="O85" i="23"/>
  <c r="L65" i="31" s="1"/>
  <c r="O77" i="23"/>
  <c r="L57" i="31" s="1"/>
  <c r="O78" i="23"/>
  <c r="L58" i="31" s="1"/>
  <c r="O76" i="23"/>
  <c r="L56" i="31" s="1"/>
  <c r="O72" i="23"/>
  <c r="O71" i="23"/>
  <c r="L52" i="31" s="1"/>
  <c r="O68" i="23"/>
  <c r="O69" i="23"/>
  <c r="O49" i="23"/>
  <c r="O50" i="23"/>
  <c r="O52" i="23"/>
  <c r="O53" i="23"/>
  <c r="O59" i="23"/>
  <c r="O60" i="23"/>
  <c r="O61" i="23"/>
  <c r="O62" i="23"/>
  <c r="O63" i="23"/>
  <c r="O64" i="23"/>
  <c r="L48" i="31" s="1"/>
  <c r="O36" i="23"/>
  <c r="L33" i="31" s="1"/>
  <c r="O38" i="23"/>
  <c r="L35" i="31" s="1"/>
  <c r="O39" i="23"/>
  <c r="L36" i="31" s="1"/>
  <c r="O40" i="23"/>
  <c r="L37" i="31" s="1"/>
  <c r="O35" i="23"/>
  <c r="L32" i="31" s="1"/>
  <c r="O23" i="23"/>
  <c r="L20" i="31" s="1"/>
  <c r="O24" i="23"/>
  <c r="L21" i="31" s="1"/>
  <c r="O25" i="23"/>
  <c r="L22" i="31" s="1"/>
  <c r="O22" i="23"/>
  <c r="L19" i="31" s="1"/>
  <c r="O20" i="23"/>
  <c r="L17" i="31" s="1"/>
  <c r="O16" i="23"/>
  <c r="O15" i="23"/>
  <c r="N193" i="23"/>
  <c r="M193" i="23"/>
  <c r="M37" i="23"/>
  <c r="M34" i="23" s="1"/>
  <c r="M27" i="23"/>
  <c r="O27" i="23" s="1"/>
  <c r="L24" i="31" s="1"/>
  <c r="M19" i="23"/>
  <c r="O19" i="23" s="1"/>
  <c r="L16" i="31" s="1"/>
  <c r="M18" i="23"/>
  <c r="O18" i="23" s="1"/>
  <c r="L15" i="31" s="1"/>
  <c r="M17" i="23"/>
  <c r="M168" i="23"/>
  <c r="M171" i="23"/>
  <c r="O171" i="23" s="1"/>
  <c r="L135" i="31" s="1"/>
  <c r="L207" i="23"/>
  <c r="N183" i="23"/>
  <c r="N182" i="23" s="1"/>
  <c r="M180" i="23"/>
  <c r="M178" i="23" s="1"/>
  <c r="M177" i="23" s="1"/>
  <c r="L202" i="23" s="1"/>
  <c r="M189" i="23"/>
  <c r="O189" i="23" s="1"/>
  <c r="L153" i="31" s="1"/>
  <c r="M187" i="23"/>
  <c r="O187" i="23" s="1"/>
  <c r="L151" i="31" s="1"/>
  <c r="N156" i="23"/>
  <c r="N154" i="23"/>
  <c r="N153" i="23" s="1"/>
  <c r="C161" i="23"/>
  <c r="C160" i="23"/>
  <c r="C159" i="23"/>
  <c r="M172" i="23"/>
  <c r="O172" i="23" s="1"/>
  <c r="L136" i="31" s="1"/>
  <c r="M169" i="23"/>
  <c r="O169" i="23" s="1"/>
  <c r="L133" i="31" s="1"/>
  <c r="M167" i="23"/>
  <c r="O167" i="23" s="1"/>
  <c r="L131" i="31" s="1"/>
  <c r="M161" i="23"/>
  <c r="M160" i="23"/>
  <c r="M159" i="23"/>
  <c r="M138" i="23"/>
  <c r="O138" i="23" s="1"/>
  <c r="L102" i="31" s="1"/>
  <c r="M151" i="23"/>
  <c r="M150" i="23" s="1"/>
  <c r="M135" i="23"/>
  <c r="M136" i="23"/>
  <c r="M129" i="23"/>
  <c r="M123" i="23"/>
  <c r="O123" i="23" s="1"/>
  <c r="M112" i="23"/>
  <c r="O112" i="23" s="1"/>
  <c r="M100" i="23"/>
  <c r="O100" i="23" s="1"/>
  <c r="L77" i="31" s="1"/>
  <c r="M99" i="23"/>
  <c r="O99" i="23" s="1"/>
  <c r="L76" i="31" s="1"/>
  <c r="M92" i="23"/>
  <c r="O93" i="23" s="1"/>
  <c r="M82" i="23"/>
  <c r="M80" i="23"/>
  <c r="O80" i="23" s="1"/>
  <c r="L60" i="31" s="1"/>
  <c r="M74" i="23"/>
  <c r="O74" i="23" s="1"/>
  <c r="L54" i="31" s="1"/>
  <c r="M73" i="23"/>
  <c r="M70" i="23" s="1"/>
  <c r="M67" i="23"/>
  <c r="M66" i="23" s="1"/>
  <c r="M56" i="23"/>
  <c r="O56" i="23" s="1"/>
  <c r="M55" i="23"/>
  <c r="O55" i="23" s="1"/>
  <c r="M57" i="23"/>
  <c r="O57" i="23" s="1"/>
  <c r="L46" i="31" s="1"/>
  <c r="M51" i="23"/>
  <c r="M48" i="23"/>
  <c r="O48" i="23" s="1"/>
  <c r="M45" i="23"/>
  <c r="O45" i="23" s="1"/>
  <c r="L42" i="31" s="1"/>
  <c r="N186" i="23"/>
  <c r="N178" i="23"/>
  <c r="N177" i="23" s="1"/>
  <c r="N202" i="23" s="1"/>
  <c r="N166" i="23"/>
  <c r="N145" i="23"/>
  <c r="N137" i="23"/>
  <c r="N121" i="23"/>
  <c r="N115" i="23" s="1"/>
  <c r="N110" i="23"/>
  <c r="N101" i="23"/>
  <c r="N96" i="23"/>
  <c r="N95" i="23" s="1"/>
  <c r="N91" i="23"/>
  <c r="N86" i="23"/>
  <c r="N79" i="23"/>
  <c r="N70" i="23"/>
  <c r="N66" i="23"/>
  <c r="N58" i="23"/>
  <c r="N54" i="23"/>
  <c r="N47" i="23"/>
  <c r="N34" i="23"/>
  <c r="N28" i="23"/>
  <c r="N26" i="23" s="1"/>
  <c r="N21" i="23"/>
  <c r="N12" i="23"/>
  <c r="M186" i="23"/>
  <c r="O186" i="23" s="1"/>
  <c r="L150" i="31" s="1"/>
  <c r="M183" i="23"/>
  <c r="M153" i="23"/>
  <c r="M145" i="23"/>
  <c r="M137" i="23"/>
  <c r="M101" i="23"/>
  <c r="M96" i="23"/>
  <c r="M95" i="23" s="1"/>
  <c r="M91" i="23"/>
  <c r="M86" i="23"/>
  <c r="M58" i="23"/>
  <c r="M28" i="23"/>
  <c r="M21" i="23"/>
  <c r="O92" i="23" l="1"/>
  <c r="M46" i="27"/>
  <c r="M44" i="27" s="1"/>
  <c r="M43" i="27" s="1"/>
  <c r="M149" i="27"/>
  <c r="I178" i="27"/>
  <c r="I177" i="27" s="1"/>
  <c r="I173" i="27" s="1"/>
  <c r="I165" i="27" s="1"/>
  <c r="L46" i="27"/>
  <c r="L44" i="27" s="1"/>
  <c r="I110" i="27"/>
  <c r="I121" i="27"/>
  <c r="I115" i="27" s="1"/>
  <c r="J132" i="27"/>
  <c r="I182" i="27"/>
  <c r="L165" i="27"/>
  <c r="O58" i="23"/>
  <c r="L47" i="31" s="1"/>
  <c r="O37" i="23"/>
  <c r="L34" i="31" s="1"/>
  <c r="I91" i="27"/>
  <c r="I166" i="27"/>
  <c r="L43" i="27"/>
  <c r="M161" i="27"/>
  <c r="K173" i="27"/>
  <c r="K165" i="27" s="1"/>
  <c r="K192" i="27"/>
  <c r="O180" i="23"/>
  <c r="L144" i="31" s="1"/>
  <c r="M149" i="23"/>
  <c r="O67" i="23"/>
  <c r="I34" i="27"/>
  <c r="I58" i="27"/>
  <c r="I86" i="27"/>
  <c r="I75" i="27" s="1"/>
  <c r="I133" i="27"/>
  <c r="L132" i="27"/>
  <c r="I145" i="27"/>
  <c r="I153" i="27"/>
  <c r="I149" i="27" s="1"/>
  <c r="I65" i="27"/>
  <c r="M160" i="27"/>
  <c r="M47" i="23"/>
  <c r="M158" i="23"/>
  <c r="I101" i="27"/>
  <c r="O193" i="23"/>
  <c r="L157" i="31" s="1"/>
  <c r="O73" i="23"/>
  <c r="L53" i="31" s="1"/>
  <c r="L11" i="27"/>
  <c r="L10" i="27" s="1"/>
  <c r="I12" i="27"/>
  <c r="J11" i="27"/>
  <c r="J10" i="27" s="1"/>
  <c r="I28" i="27"/>
  <c r="I26" i="27" s="1"/>
  <c r="I54" i="27"/>
  <c r="I79" i="27"/>
  <c r="K75" i="27"/>
  <c r="L161" i="27"/>
  <c r="I137" i="27"/>
  <c r="I132" i="27" s="1"/>
  <c r="I150" i="27"/>
  <c r="L192" i="27"/>
  <c r="K132" i="27"/>
  <c r="N75" i="23"/>
  <c r="N65" i="23"/>
  <c r="O47" i="23"/>
  <c r="N46" i="23"/>
  <c r="N44" i="23" s="1"/>
  <c r="I44" i="27"/>
  <c r="I46" i="27"/>
  <c r="K44" i="27"/>
  <c r="I192" i="27"/>
  <c r="M192" i="27"/>
  <c r="M173" i="27"/>
  <c r="M165" i="27" s="1"/>
  <c r="L159" i="27"/>
  <c r="K160" i="27"/>
  <c r="J173" i="27"/>
  <c r="J165" i="27" s="1"/>
  <c r="K159" i="27"/>
  <c r="I47" i="27"/>
  <c r="J75" i="27"/>
  <c r="J43" i="27" s="1"/>
  <c r="K115" i="27"/>
  <c r="M159" i="27"/>
  <c r="L160" i="27"/>
  <c r="K161" i="27"/>
  <c r="J149" i="27"/>
  <c r="N151" i="23"/>
  <c r="N150" i="23" s="1"/>
  <c r="M79" i="23"/>
  <c r="O82" i="23"/>
  <c r="O51" i="23"/>
  <c r="M166" i="23"/>
  <c r="O168" i="23"/>
  <c r="M14" i="23"/>
  <c r="M12" i="23" s="1"/>
  <c r="O17" i="23"/>
  <c r="O14" i="23" s="1"/>
  <c r="L14" i="31" s="1"/>
  <c r="M33" i="23"/>
  <c r="M121" i="23"/>
  <c r="M115" i="23" s="1"/>
  <c r="O129" i="23"/>
  <c r="N11" i="23"/>
  <c r="N10" i="23" s="1"/>
  <c r="N201" i="23" s="1"/>
  <c r="M110" i="23"/>
  <c r="O184" i="23"/>
  <c r="L148" i="31" s="1"/>
  <c r="M134" i="23"/>
  <c r="N134" i="23" s="1"/>
  <c r="N133" i="23" s="1"/>
  <c r="N132" i="23" s="1"/>
  <c r="N173" i="23"/>
  <c r="N192" i="23"/>
  <c r="M173" i="23"/>
  <c r="L208" i="23" s="1"/>
  <c r="L209" i="23" s="1"/>
  <c r="M192" i="23"/>
  <c r="M182" i="23"/>
  <c r="N149" i="23"/>
  <c r="M75" i="23"/>
  <c r="M65" i="23"/>
  <c r="M54" i="23"/>
  <c r="T41" i="7"/>
  <c r="S41" i="7"/>
  <c r="T40" i="7"/>
  <c r="S40" i="7"/>
  <c r="T39" i="7"/>
  <c r="S39" i="7"/>
  <c r="T38" i="7"/>
  <c r="S38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G46" i="4"/>
  <c r="G167" i="4"/>
  <c r="G168" i="4"/>
  <c r="G169" i="4"/>
  <c r="G170" i="4"/>
  <c r="G171" i="4"/>
  <c r="G172" i="4"/>
  <c r="G173" i="4"/>
  <c r="N14" i="27"/>
  <c r="O183" i="23"/>
  <c r="O178" i="23"/>
  <c r="O153" i="23"/>
  <c r="O150" i="23"/>
  <c r="L114" i="31" s="1"/>
  <c r="O145" i="23"/>
  <c r="L109" i="31" s="1"/>
  <c r="O137" i="23"/>
  <c r="O133" i="23"/>
  <c r="L97" i="31" s="1"/>
  <c r="O121" i="23"/>
  <c r="O110" i="23"/>
  <c r="O101" i="23"/>
  <c r="O96" i="23"/>
  <c r="L73" i="31" s="1"/>
  <c r="O91" i="23"/>
  <c r="O86" i="23"/>
  <c r="L66" i="31" s="1"/>
  <c r="O70" i="23"/>
  <c r="O66" i="23"/>
  <c r="L50" i="31" s="1"/>
  <c r="O28" i="23"/>
  <c r="O21" i="23"/>
  <c r="L18" i="31" s="1"/>
  <c r="L13" i="13"/>
  <c r="L15" i="13"/>
  <c r="L16" i="13"/>
  <c r="L17" i="13"/>
  <c r="L19" i="13"/>
  <c r="L20" i="13"/>
  <c r="L21" i="13"/>
  <c r="L22" i="13"/>
  <c r="L24" i="13"/>
  <c r="L26" i="13"/>
  <c r="L27" i="13"/>
  <c r="L27" i="33" s="1"/>
  <c r="L28" i="13"/>
  <c r="L29" i="13"/>
  <c r="L32" i="13"/>
  <c r="L33" i="13"/>
  <c r="L35" i="13"/>
  <c r="L36" i="13"/>
  <c r="L36" i="33" s="1"/>
  <c r="L37" i="13"/>
  <c r="L42" i="13"/>
  <c r="L42" i="33" s="1"/>
  <c r="L46" i="13"/>
  <c r="L47" i="13"/>
  <c r="L48" i="13"/>
  <c r="L52" i="13"/>
  <c r="L53" i="13"/>
  <c r="L54" i="13"/>
  <c r="L56" i="13"/>
  <c r="L57" i="13"/>
  <c r="L58" i="13"/>
  <c r="L60" i="13"/>
  <c r="L61" i="13"/>
  <c r="L62" i="13"/>
  <c r="L63" i="13"/>
  <c r="L64" i="13"/>
  <c r="L65" i="13"/>
  <c r="L67" i="13"/>
  <c r="L68" i="13"/>
  <c r="L69" i="13"/>
  <c r="L70" i="13"/>
  <c r="L74" i="13"/>
  <c r="L75" i="13"/>
  <c r="L76" i="13"/>
  <c r="L77" i="13"/>
  <c r="L79" i="13"/>
  <c r="L80" i="13"/>
  <c r="L81" i="13"/>
  <c r="L82" i="13"/>
  <c r="L83" i="13"/>
  <c r="L84" i="13"/>
  <c r="L85" i="13"/>
  <c r="L86" i="13"/>
  <c r="L89" i="13"/>
  <c r="L90" i="13"/>
  <c r="L91" i="13"/>
  <c r="L92" i="13"/>
  <c r="L93" i="13"/>
  <c r="L98" i="13"/>
  <c r="L99" i="13"/>
  <c r="L100" i="13"/>
  <c r="L102" i="13"/>
  <c r="L103" i="13"/>
  <c r="L104" i="13"/>
  <c r="L105" i="13"/>
  <c r="L106" i="13"/>
  <c r="L107" i="13"/>
  <c r="L108" i="13"/>
  <c r="L109" i="13"/>
  <c r="L110" i="13"/>
  <c r="L111" i="13"/>
  <c r="L112" i="13"/>
  <c r="L114" i="13"/>
  <c r="L115" i="13"/>
  <c r="L116" i="13"/>
  <c r="L118" i="13"/>
  <c r="L119" i="13"/>
  <c r="L120" i="13"/>
  <c r="L121" i="13"/>
  <c r="L126" i="13"/>
  <c r="L127" i="13"/>
  <c r="L128" i="13"/>
  <c r="L131" i="13"/>
  <c r="L133" i="13"/>
  <c r="L134" i="13"/>
  <c r="L135" i="13"/>
  <c r="L136" i="13"/>
  <c r="L138" i="13"/>
  <c r="L138" i="33" s="1"/>
  <c r="L139" i="13"/>
  <c r="L140" i="13"/>
  <c r="L143" i="13"/>
  <c r="L144" i="13"/>
  <c r="L145" i="13"/>
  <c r="L149" i="13"/>
  <c r="L150" i="13"/>
  <c r="L150" i="33" s="1"/>
  <c r="L151" i="13"/>
  <c r="L152" i="13"/>
  <c r="L153" i="13"/>
  <c r="L154" i="13"/>
  <c r="L160" i="13"/>
  <c r="L161" i="13"/>
  <c r="L162" i="13"/>
  <c r="L163" i="13"/>
  <c r="M12" i="5"/>
  <c r="G12" i="4" s="1"/>
  <c r="M13" i="5"/>
  <c r="G13" i="4" s="1"/>
  <c r="M14" i="5"/>
  <c r="G14" i="4" s="1"/>
  <c r="M15" i="5"/>
  <c r="G15" i="4" s="1"/>
  <c r="M16" i="5"/>
  <c r="G16" i="4" s="1"/>
  <c r="M17" i="5"/>
  <c r="G17" i="4" s="1"/>
  <c r="M18" i="5"/>
  <c r="G18" i="4" s="1"/>
  <c r="M19" i="5"/>
  <c r="G19" i="4" s="1"/>
  <c r="M20" i="5"/>
  <c r="G20" i="4" s="1"/>
  <c r="M21" i="5"/>
  <c r="G21" i="4" s="1"/>
  <c r="M22" i="5"/>
  <c r="G22" i="4" s="1"/>
  <c r="M23" i="5"/>
  <c r="G23" i="4" s="1"/>
  <c r="M24" i="5"/>
  <c r="G24" i="4" s="1"/>
  <c r="M25" i="5"/>
  <c r="G25" i="4" s="1"/>
  <c r="M26" i="5"/>
  <c r="G26" i="4" s="1"/>
  <c r="M27" i="5"/>
  <c r="G27" i="4" s="1"/>
  <c r="M28" i="5"/>
  <c r="G28" i="4" s="1"/>
  <c r="M29" i="5"/>
  <c r="G29" i="4" s="1"/>
  <c r="M30" i="5"/>
  <c r="G30" i="4" s="1"/>
  <c r="M31" i="5"/>
  <c r="G31" i="4" s="1"/>
  <c r="M32" i="5"/>
  <c r="G32" i="4" s="1"/>
  <c r="M33" i="5"/>
  <c r="G33" i="4" s="1"/>
  <c r="M34" i="5"/>
  <c r="G34" i="4" s="1"/>
  <c r="M35" i="5"/>
  <c r="G35" i="4" s="1"/>
  <c r="L36" i="5"/>
  <c r="H36" i="4" s="1"/>
  <c r="M36" i="5"/>
  <c r="G36" i="4" s="1"/>
  <c r="M37" i="5"/>
  <c r="G37" i="4" s="1"/>
  <c r="M38" i="5"/>
  <c r="G38" i="4" s="1"/>
  <c r="M39" i="5"/>
  <c r="G39" i="4" s="1"/>
  <c r="M40" i="5"/>
  <c r="G40" i="4" s="1"/>
  <c r="M41" i="5"/>
  <c r="G41" i="4" s="1"/>
  <c r="M42" i="5"/>
  <c r="G42" i="4" s="1"/>
  <c r="M43" i="5"/>
  <c r="G43" i="4" s="1"/>
  <c r="M44" i="5"/>
  <c r="G44" i="4" s="1"/>
  <c r="M45" i="5"/>
  <c r="G45" i="4" s="1"/>
  <c r="M46" i="5"/>
  <c r="M47" i="5"/>
  <c r="G47" i="4" s="1"/>
  <c r="M48" i="5"/>
  <c r="G48" i="4" s="1"/>
  <c r="M49" i="5"/>
  <c r="G49" i="4" s="1"/>
  <c r="M50" i="5"/>
  <c r="G50" i="4" s="1"/>
  <c r="M51" i="5"/>
  <c r="G51" i="4" s="1"/>
  <c r="M52" i="5"/>
  <c r="G52" i="4" s="1"/>
  <c r="M53" i="5"/>
  <c r="G53" i="4" s="1"/>
  <c r="M54" i="5"/>
  <c r="G54" i="4" s="1"/>
  <c r="M55" i="5"/>
  <c r="G55" i="4" s="1"/>
  <c r="M56" i="5"/>
  <c r="G56" i="4" s="1"/>
  <c r="M57" i="5"/>
  <c r="G57" i="4" s="1"/>
  <c r="M58" i="5"/>
  <c r="G58" i="4" s="1"/>
  <c r="M59" i="5"/>
  <c r="G59" i="4" s="1"/>
  <c r="M60" i="5"/>
  <c r="G60" i="4" s="1"/>
  <c r="M61" i="5"/>
  <c r="G61" i="4" s="1"/>
  <c r="M62" i="5"/>
  <c r="G62" i="4" s="1"/>
  <c r="M63" i="5"/>
  <c r="G63" i="4" s="1"/>
  <c r="M64" i="5"/>
  <c r="G64" i="4" s="1"/>
  <c r="M65" i="5"/>
  <c r="G65" i="4" s="1"/>
  <c r="M66" i="5"/>
  <c r="G66" i="4" s="1"/>
  <c r="M67" i="5"/>
  <c r="G67" i="4" s="1"/>
  <c r="M68" i="5"/>
  <c r="G68" i="4" s="1"/>
  <c r="M69" i="5"/>
  <c r="G69" i="4" s="1"/>
  <c r="M70" i="5"/>
  <c r="G70" i="4" s="1"/>
  <c r="M71" i="5"/>
  <c r="G71" i="4" s="1"/>
  <c r="M72" i="5"/>
  <c r="G72" i="4" s="1"/>
  <c r="M73" i="5"/>
  <c r="G73" i="4" s="1"/>
  <c r="M74" i="5"/>
  <c r="G74" i="4" s="1"/>
  <c r="M75" i="5"/>
  <c r="G75" i="4" s="1"/>
  <c r="M76" i="5"/>
  <c r="G76" i="4" s="1"/>
  <c r="M77" i="5"/>
  <c r="G77" i="4" s="1"/>
  <c r="M78" i="5"/>
  <c r="G78" i="4" s="1"/>
  <c r="M79" i="5"/>
  <c r="G79" i="4" s="1"/>
  <c r="M80" i="5"/>
  <c r="G80" i="4" s="1"/>
  <c r="M81" i="5"/>
  <c r="G81" i="4" s="1"/>
  <c r="M82" i="5"/>
  <c r="G82" i="4" s="1"/>
  <c r="M83" i="5"/>
  <c r="G83" i="4" s="1"/>
  <c r="M84" i="5"/>
  <c r="G84" i="4" s="1"/>
  <c r="M85" i="5"/>
  <c r="G85" i="4" s="1"/>
  <c r="M86" i="5"/>
  <c r="G86" i="4" s="1"/>
  <c r="M87" i="5"/>
  <c r="G87" i="4" s="1"/>
  <c r="M88" i="5"/>
  <c r="G88" i="4" s="1"/>
  <c r="M89" i="5"/>
  <c r="G89" i="4" s="1"/>
  <c r="M90" i="5"/>
  <c r="G90" i="4" s="1"/>
  <c r="M91" i="5"/>
  <c r="G91" i="4" s="1"/>
  <c r="M92" i="5"/>
  <c r="G92" i="4" s="1"/>
  <c r="M93" i="5"/>
  <c r="G93" i="4" s="1"/>
  <c r="M94" i="5"/>
  <c r="G94" i="4" s="1"/>
  <c r="M95" i="5"/>
  <c r="G95" i="4" s="1"/>
  <c r="M96" i="5"/>
  <c r="G96" i="4" s="1"/>
  <c r="G160" i="4" s="1"/>
  <c r="G165" i="4" s="1"/>
  <c r="M97" i="5"/>
  <c r="G97" i="4" s="1"/>
  <c r="G161" i="4" s="1"/>
  <c r="G164" i="4" s="1"/>
  <c r="M98" i="5"/>
  <c r="G98" i="4" s="1"/>
  <c r="M99" i="5"/>
  <c r="G99" i="4" s="1"/>
  <c r="M100" i="5"/>
  <c r="G100" i="4" s="1"/>
  <c r="M101" i="5"/>
  <c r="G101" i="4" s="1"/>
  <c r="M102" i="5"/>
  <c r="G102" i="4" s="1"/>
  <c r="M103" i="5"/>
  <c r="G103" i="4" s="1"/>
  <c r="M104" i="5"/>
  <c r="G104" i="4" s="1"/>
  <c r="M105" i="5"/>
  <c r="G105" i="4" s="1"/>
  <c r="M106" i="5"/>
  <c r="G106" i="4" s="1"/>
  <c r="M107" i="5"/>
  <c r="G107" i="4" s="1"/>
  <c r="M108" i="5"/>
  <c r="G108" i="4" s="1"/>
  <c r="M109" i="5"/>
  <c r="G109" i="4" s="1"/>
  <c r="M110" i="5"/>
  <c r="G110" i="4" s="1"/>
  <c r="M111" i="5"/>
  <c r="G111" i="4" s="1"/>
  <c r="M112" i="5"/>
  <c r="G112" i="4" s="1"/>
  <c r="M113" i="5"/>
  <c r="G113" i="4" s="1"/>
  <c r="M114" i="5"/>
  <c r="G114" i="4" s="1"/>
  <c r="M115" i="5"/>
  <c r="G115" i="4" s="1"/>
  <c r="M116" i="5"/>
  <c r="G116" i="4" s="1"/>
  <c r="M117" i="5"/>
  <c r="G117" i="4" s="1"/>
  <c r="M118" i="5"/>
  <c r="G118" i="4" s="1"/>
  <c r="M119" i="5"/>
  <c r="G119" i="4" s="1"/>
  <c r="M120" i="5"/>
  <c r="G120" i="4" s="1"/>
  <c r="M121" i="5"/>
  <c r="G121" i="4" s="1"/>
  <c r="M122" i="5"/>
  <c r="G122" i="4" s="1"/>
  <c r="M123" i="5"/>
  <c r="G123" i="4" s="1"/>
  <c r="M124" i="5"/>
  <c r="G124" i="4" s="1"/>
  <c r="M125" i="5"/>
  <c r="G125" i="4" s="1"/>
  <c r="M126" i="5"/>
  <c r="G126" i="4" s="1"/>
  <c r="M127" i="5"/>
  <c r="G127" i="4" s="1"/>
  <c r="M128" i="5"/>
  <c r="G128" i="4" s="1"/>
  <c r="M129" i="5"/>
  <c r="G129" i="4" s="1"/>
  <c r="M130" i="5"/>
  <c r="G130" i="4" s="1"/>
  <c r="M131" i="5"/>
  <c r="G131" i="4" s="1"/>
  <c r="M132" i="5"/>
  <c r="G132" i="4" s="1"/>
  <c r="M133" i="5"/>
  <c r="G133" i="4" s="1"/>
  <c r="M134" i="5"/>
  <c r="G134" i="4" s="1"/>
  <c r="M135" i="5"/>
  <c r="G135" i="4" s="1"/>
  <c r="M136" i="5"/>
  <c r="G136" i="4" s="1"/>
  <c r="M137" i="5"/>
  <c r="G137" i="4" s="1"/>
  <c r="M138" i="5"/>
  <c r="G138" i="4" s="1"/>
  <c r="M139" i="5"/>
  <c r="G139" i="4" s="1"/>
  <c r="M140" i="5"/>
  <c r="G140" i="4" s="1"/>
  <c r="M141" i="5"/>
  <c r="G141" i="4" s="1"/>
  <c r="M142" i="5"/>
  <c r="G142" i="4" s="1"/>
  <c r="M143" i="5"/>
  <c r="G143" i="4" s="1"/>
  <c r="M144" i="5"/>
  <c r="G144" i="4" s="1"/>
  <c r="M145" i="5"/>
  <c r="G145" i="4" s="1"/>
  <c r="M146" i="5"/>
  <c r="G146" i="4" s="1"/>
  <c r="M147" i="5"/>
  <c r="G147" i="4" s="1"/>
  <c r="M148" i="5"/>
  <c r="G148" i="4" s="1"/>
  <c r="M149" i="5"/>
  <c r="G149" i="4" s="1"/>
  <c r="M150" i="5"/>
  <c r="G150" i="4" s="1"/>
  <c r="M151" i="5"/>
  <c r="G151" i="4" s="1"/>
  <c r="M152" i="5"/>
  <c r="G152" i="4" s="1"/>
  <c r="M153" i="5"/>
  <c r="G153" i="4" s="1"/>
  <c r="M154" i="5"/>
  <c r="G154" i="4" s="1"/>
  <c r="M155" i="5"/>
  <c r="G155" i="4" s="1"/>
  <c r="M156" i="5"/>
  <c r="G156" i="4" s="1"/>
  <c r="M157" i="5"/>
  <c r="G157" i="4" s="1"/>
  <c r="M158" i="5"/>
  <c r="G158" i="4" s="1"/>
  <c r="M159" i="5"/>
  <c r="M160" i="5"/>
  <c r="M161" i="5"/>
  <c r="M162" i="5"/>
  <c r="M11" i="5"/>
  <c r="G11" i="4" s="1"/>
  <c r="G166" i="4" s="1"/>
  <c r="M10" i="5"/>
  <c r="G10" i="4" s="1"/>
  <c r="L159" i="5" l="1"/>
  <c r="L159" i="33"/>
  <c r="L139" i="5"/>
  <c r="H139" i="4" s="1"/>
  <c r="L139" i="33"/>
  <c r="L134" i="5"/>
  <c r="H134" i="4" s="1"/>
  <c r="L134" i="33"/>
  <c r="L114" i="5"/>
  <c r="H114" i="4" s="1"/>
  <c r="L114" i="33"/>
  <c r="L100" i="5"/>
  <c r="H100" i="4" s="1"/>
  <c r="L100" i="33"/>
  <c r="L82" i="5"/>
  <c r="H82" i="4" s="1"/>
  <c r="L82" i="33"/>
  <c r="L65" i="5"/>
  <c r="H65" i="4" s="1"/>
  <c r="L65" i="33"/>
  <c r="L56" i="5"/>
  <c r="H56" i="4" s="1"/>
  <c r="L56" i="33"/>
  <c r="L37" i="5"/>
  <c r="H37" i="4" s="1"/>
  <c r="L37" i="33"/>
  <c r="L16" i="5"/>
  <c r="H16" i="4" s="1"/>
  <c r="L16" i="33"/>
  <c r="O166" i="23"/>
  <c r="L132" i="31"/>
  <c r="L162" i="5"/>
  <c r="L162" i="33"/>
  <c r="L154" i="5"/>
  <c r="H154" i="4" s="1"/>
  <c r="L154" i="33"/>
  <c r="L144" i="5"/>
  <c r="H144" i="4" s="1"/>
  <c r="L144" i="33"/>
  <c r="L133" i="5"/>
  <c r="H133" i="4" s="1"/>
  <c r="L133" i="33"/>
  <c r="L126" i="5"/>
  <c r="H126" i="4" s="1"/>
  <c r="L126" i="33"/>
  <c r="L118" i="5"/>
  <c r="H118" i="4" s="1"/>
  <c r="L118" i="33"/>
  <c r="L112" i="5"/>
  <c r="H112" i="4" s="1"/>
  <c r="L112" i="33"/>
  <c r="L108" i="5"/>
  <c r="H108" i="4" s="1"/>
  <c r="L108" i="33"/>
  <c r="L104" i="5"/>
  <c r="H104" i="4" s="1"/>
  <c r="L104" i="33"/>
  <c r="L99" i="5"/>
  <c r="H99" i="4" s="1"/>
  <c r="L99" i="33"/>
  <c r="L91" i="5"/>
  <c r="H91" i="4" s="1"/>
  <c r="L91" i="33"/>
  <c r="L85" i="5"/>
  <c r="H85" i="4" s="1"/>
  <c r="L85" i="33"/>
  <c r="L81" i="5"/>
  <c r="H81" i="4" s="1"/>
  <c r="L81" i="33"/>
  <c r="L76" i="5"/>
  <c r="H76" i="4" s="1"/>
  <c r="L76" i="33"/>
  <c r="L69" i="5"/>
  <c r="H69" i="4" s="1"/>
  <c r="L69" i="33"/>
  <c r="L64" i="5"/>
  <c r="H64" i="4" s="1"/>
  <c r="L64" i="33"/>
  <c r="L60" i="5"/>
  <c r="H60" i="4" s="1"/>
  <c r="L60" i="33"/>
  <c r="L54" i="5"/>
  <c r="H54" i="4" s="1"/>
  <c r="L54" i="33"/>
  <c r="L47" i="5"/>
  <c r="H47" i="4" s="1"/>
  <c r="L47" i="33"/>
  <c r="L32" i="5"/>
  <c r="H32" i="4" s="1"/>
  <c r="L32" i="33"/>
  <c r="L26" i="5"/>
  <c r="H26" i="4" s="1"/>
  <c r="L26" i="33"/>
  <c r="L20" i="5"/>
  <c r="H20" i="4" s="1"/>
  <c r="L20" i="33"/>
  <c r="L15" i="5"/>
  <c r="H15" i="4" s="1"/>
  <c r="L15" i="33"/>
  <c r="O34" i="23"/>
  <c r="L71" i="13"/>
  <c r="L71" i="31"/>
  <c r="O115" i="23"/>
  <c r="L94" i="31"/>
  <c r="K43" i="27"/>
  <c r="L145" i="5"/>
  <c r="H145" i="4" s="1"/>
  <c r="L145" i="33"/>
  <c r="L119" i="5"/>
  <c r="H119" i="4" s="1"/>
  <c r="L119" i="33"/>
  <c r="L105" i="5"/>
  <c r="H105" i="4" s="1"/>
  <c r="L105" i="33"/>
  <c r="L86" i="5"/>
  <c r="H86" i="4" s="1"/>
  <c r="L86" i="33"/>
  <c r="L70" i="5"/>
  <c r="H70" i="4" s="1"/>
  <c r="L70" i="33"/>
  <c r="L48" i="5"/>
  <c r="H48" i="4" s="1"/>
  <c r="L48" i="33"/>
  <c r="L33" i="5"/>
  <c r="H33" i="4" s="1"/>
  <c r="L33" i="33"/>
  <c r="O182" i="23"/>
  <c r="L147" i="31"/>
  <c r="L161" i="5"/>
  <c r="L161" i="33"/>
  <c r="L153" i="5"/>
  <c r="H153" i="4" s="1"/>
  <c r="L153" i="33"/>
  <c r="L149" i="5"/>
  <c r="H149" i="4" s="1"/>
  <c r="L149" i="33"/>
  <c r="L143" i="5"/>
  <c r="H143" i="4" s="1"/>
  <c r="L143" i="33"/>
  <c r="L136" i="5"/>
  <c r="H136" i="4" s="1"/>
  <c r="L136" i="33"/>
  <c r="L131" i="5"/>
  <c r="H131" i="4" s="1"/>
  <c r="L131" i="33"/>
  <c r="L121" i="5"/>
  <c r="H121" i="4" s="1"/>
  <c r="L121" i="33"/>
  <c r="L116" i="5"/>
  <c r="H116" i="4" s="1"/>
  <c r="L116" i="33"/>
  <c r="L111" i="5"/>
  <c r="H111" i="4" s="1"/>
  <c r="L111" i="33"/>
  <c r="L107" i="5"/>
  <c r="H107" i="4" s="1"/>
  <c r="L107" i="33"/>
  <c r="L103" i="5"/>
  <c r="H103" i="4" s="1"/>
  <c r="L103" i="33"/>
  <c r="L98" i="5"/>
  <c r="H98" i="4" s="1"/>
  <c r="L98" i="33"/>
  <c r="L90" i="5"/>
  <c r="H90" i="4" s="1"/>
  <c r="L90" i="33"/>
  <c r="L84" i="5"/>
  <c r="H84" i="4" s="1"/>
  <c r="L84" i="33"/>
  <c r="L80" i="5"/>
  <c r="H80" i="4" s="1"/>
  <c r="L80" i="33"/>
  <c r="L75" i="5"/>
  <c r="H75" i="4" s="1"/>
  <c r="L75" i="33"/>
  <c r="L68" i="5"/>
  <c r="H68" i="4" s="1"/>
  <c r="L68" i="33"/>
  <c r="L63" i="5"/>
  <c r="H63" i="4" s="1"/>
  <c r="L63" i="33"/>
  <c r="L58" i="5"/>
  <c r="H58" i="4" s="1"/>
  <c r="L58" i="33"/>
  <c r="L53" i="5"/>
  <c r="H53" i="4" s="1"/>
  <c r="L53" i="33"/>
  <c r="L46" i="5"/>
  <c r="H46" i="4" s="1"/>
  <c r="L46" i="33"/>
  <c r="L35" i="5"/>
  <c r="H35" i="4" s="1"/>
  <c r="L35" i="33"/>
  <c r="L29" i="5"/>
  <c r="H29" i="4" s="1"/>
  <c r="L29" i="33"/>
  <c r="L24" i="5"/>
  <c r="H24" i="4" s="1"/>
  <c r="L24" i="33"/>
  <c r="L19" i="5"/>
  <c r="H19" i="4" s="1"/>
  <c r="L19" i="33"/>
  <c r="L13" i="5"/>
  <c r="H13" i="4" s="1"/>
  <c r="L13" i="33"/>
  <c r="L117" i="13"/>
  <c r="L117" i="31"/>
  <c r="L44" i="13"/>
  <c r="L44" i="33" s="1"/>
  <c r="L44" i="31"/>
  <c r="L151" i="5"/>
  <c r="H151" i="4" s="1"/>
  <c r="L151" i="33"/>
  <c r="L127" i="5"/>
  <c r="H127" i="4" s="1"/>
  <c r="L127" i="33"/>
  <c r="L109" i="5"/>
  <c r="H109" i="4" s="1"/>
  <c r="L109" i="33"/>
  <c r="L92" i="5"/>
  <c r="H92" i="4" s="1"/>
  <c r="L92" i="33"/>
  <c r="L77" i="5"/>
  <c r="H77" i="4" s="1"/>
  <c r="L77" i="33"/>
  <c r="L61" i="5"/>
  <c r="H61" i="4" s="1"/>
  <c r="L61" i="33"/>
  <c r="L21" i="5"/>
  <c r="H21" i="4" s="1"/>
  <c r="L21" i="33"/>
  <c r="L25" i="13"/>
  <c r="L25" i="31"/>
  <c r="L87" i="13"/>
  <c r="L87" i="31"/>
  <c r="L160" i="5"/>
  <c r="L160" i="33"/>
  <c r="L152" i="5"/>
  <c r="H152" i="4" s="1"/>
  <c r="L152" i="33"/>
  <c r="L148" i="13"/>
  <c r="L140" i="5"/>
  <c r="H140" i="4" s="1"/>
  <c r="L140" i="33"/>
  <c r="L135" i="5"/>
  <c r="H135" i="4" s="1"/>
  <c r="L135" i="33"/>
  <c r="L128" i="5"/>
  <c r="H128" i="4" s="1"/>
  <c r="L128" i="33"/>
  <c r="L120" i="5"/>
  <c r="H120" i="4" s="1"/>
  <c r="L120" i="33"/>
  <c r="L115" i="5"/>
  <c r="H115" i="4" s="1"/>
  <c r="L115" i="33"/>
  <c r="L110" i="5"/>
  <c r="H110" i="4" s="1"/>
  <c r="L110" i="33"/>
  <c r="L106" i="5"/>
  <c r="H106" i="4" s="1"/>
  <c r="L106" i="33"/>
  <c r="L102" i="5"/>
  <c r="H102" i="4" s="1"/>
  <c r="L102" i="33"/>
  <c r="L93" i="5"/>
  <c r="H93" i="4" s="1"/>
  <c r="L93" i="33"/>
  <c r="L89" i="5"/>
  <c r="H89" i="4" s="1"/>
  <c r="L89" i="33"/>
  <c r="L83" i="5"/>
  <c r="H83" i="4" s="1"/>
  <c r="L83" i="33"/>
  <c r="L79" i="5"/>
  <c r="H79" i="4" s="1"/>
  <c r="L79" i="33"/>
  <c r="L74" i="5"/>
  <c r="H74" i="4" s="1"/>
  <c r="L74" i="33"/>
  <c r="L67" i="5"/>
  <c r="H67" i="4" s="1"/>
  <c r="L67" i="33"/>
  <c r="L62" i="5"/>
  <c r="H62" i="4" s="1"/>
  <c r="L62" i="33"/>
  <c r="L57" i="5"/>
  <c r="H57" i="4" s="1"/>
  <c r="L57" i="33"/>
  <c r="L52" i="5"/>
  <c r="H52" i="4" s="1"/>
  <c r="L52" i="33"/>
  <c r="L34" i="13"/>
  <c r="L28" i="5"/>
  <c r="H28" i="4" s="1"/>
  <c r="L28" i="33"/>
  <c r="L22" i="5"/>
  <c r="H22" i="4" s="1"/>
  <c r="L22" i="33"/>
  <c r="L17" i="5"/>
  <c r="H17" i="4" s="1"/>
  <c r="L17" i="33"/>
  <c r="L51" i="13"/>
  <c r="L51" i="31"/>
  <c r="L78" i="13"/>
  <c r="L78" i="31"/>
  <c r="L101" i="13"/>
  <c r="L101" i="31"/>
  <c r="O177" i="23"/>
  <c r="L141" i="31" s="1"/>
  <c r="L142" i="31"/>
  <c r="O79" i="23"/>
  <c r="L62" i="31"/>
  <c r="M158" i="27"/>
  <c r="M131" i="27" s="1"/>
  <c r="M42" i="27" s="1"/>
  <c r="M41" i="27" s="1"/>
  <c r="M191" i="27" s="1"/>
  <c r="M194" i="27" s="1"/>
  <c r="I11" i="27"/>
  <c r="I10" i="27" s="1"/>
  <c r="L73" i="13"/>
  <c r="O95" i="23"/>
  <c r="I43" i="27"/>
  <c r="L132" i="13"/>
  <c r="L132" i="33" s="1"/>
  <c r="N43" i="23"/>
  <c r="L14" i="13"/>
  <c r="J161" i="27"/>
  <c r="I161" i="27" s="1"/>
  <c r="J160" i="27"/>
  <c r="I160" i="27" s="1"/>
  <c r="L158" i="27"/>
  <c r="L131" i="27" s="1"/>
  <c r="L42" i="27" s="1"/>
  <c r="L41" i="27" s="1"/>
  <c r="L191" i="27" s="1"/>
  <c r="L194" i="27" s="1"/>
  <c r="J159" i="27"/>
  <c r="K158" i="27"/>
  <c r="K131" i="27" s="1"/>
  <c r="K42" i="27" s="1"/>
  <c r="K41" i="27" s="1"/>
  <c r="K191" i="27" s="1"/>
  <c r="K194" i="27" s="1"/>
  <c r="L94" i="13"/>
  <c r="O192" i="23"/>
  <c r="M133" i="23"/>
  <c r="M46" i="23"/>
  <c r="M44" i="23" s="1"/>
  <c r="M43" i="23" s="1"/>
  <c r="O54" i="23"/>
  <c r="L45" i="31" s="1"/>
  <c r="N160" i="23"/>
  <c r="O160" i="23" s="1"/>
  <c r="N161" i="23"/>
  <c r="O161" i="23" s="1"/>
  <c r="N159" i="23"/>
  <c r="M26" i="23"/>
  <c r="M11" i="23" s="1"/>
  <c r="M10" i="23" s="1"/>
  <c r="L201" i="23" s="1"/>
  <c r="L203" i="23" s="1"/>
  <c r="O33" i="23"/>
  <c r="L30" i="31" s="1"/>
  <c r="L147" i="13"/>
  <c r="O65" i="23"/>
  <c r="L49" i="31" s="1"/>
  <c r="M165" i="23"/>
  <c r="N165" i="23"/>
  <c r="O149" i="23"/>
  <c r="O132" i="23"/>
  <c r="O12" i="23"/>
  <c r="O173" i="23"/>
  <c r="L137" i="31" s="1"/>
  <c r="L141" i="13"/>
  <c r="L142" i="13"/>
  <c r="L66" i="13"/>
  <c r="L50" i="13"/>
  <c r="L18" i="13"/>
  <c r="L97" i="13"/>
  <c r="L27" i="5"/>
  <c r="H27" i="4" s="1"/>
  <c r="L138" i="5"/>
  <c r="H138" i="4" s="1"/>
  <c r="L150" i="5"/>
  <c r="H150" i="4" s="1"/>
  <c r="L50" i="5" l="1"/>
  <c r="H50" i="4" s="1"/>
  <c r="L50" i="33"/>
  <c r="L147" i="5"/>
  <c r="H147" i="4" s="1"/>
  <c r="L147" i="33"/>
  <c r="L72" i="13"/>
  <c r="L72" i="31"/>
  <c r="L66" i="5"/>
  <c r="H66" i="4" s="1"/>
  <c r="L66" i="33"/>
  <c r="L12" i="13"/>
  <c r="L12" i="33" s="1"/>
  <c r="L12" i="31"/>
  <c r="L124" i="13"/>
  <c r="L124" i="31"/>
  <c r="L156" i="13"/>
  <c r="L156" i="31"/>
  <c r="L73" i="5"/>
  <c r="H73" i="4" s="1"/>
  <c r="L73" i="33"/>
  <c r="L59" i="13"/>
  <c r="L59" i="31"/>
  <c r="L101" i="5"/>
  <c r="H101" i="4" s="1"/>
  <c r="L101" i="33"/>
  <c r="L51" i="5"/>
  <c r="H51" i="4" s="1"/>
  <c r="L51" i="33"/>
  <c r="L87" i="5"/>
  <c r="H87" i="4" s="1"/>
  <c r="L87" i="33"/>
  <c r="L117" i="5"/>
  <c r="H117" i="4" s="1"/>
  <c r="L117" i="33"/>
  <c r="L34" i="5"/>
  <c r="H34" i="4" s="1"/>
  <c r="L34" i="33"/>
  <c r="L88" i="13"/>
  <c r="L88" i="31"/>
  <c r="L97" i="5"/>
  <c r="H97" i="4" s="1"/>
  <c r="L97" i="33"/>
  <c r="L142" i="5"/>
  <c r="H142" i="4" s="1"/>
  <c r="L142" i="33"/>
  <c r="L96" i="13"/>
  <c r="L96" i="31"/>
  <c r="L94" i="5"/>
  <c r="H94" i="4" s="1"/>
  <c r="L94" i="33"/>
  <c r="L71" i="5"/>
  <c r="H71" i="4" s="1"/>
  <c r="L71" i="33"/>
  <c r="L125" i="13"/>
  <c r="L125" i="31"/>
  <c r="L14" i="5"/>
  <c r="H14" i="4" s="1"/>
  <c r="L14" i="33"/>
  <c r="L18" i="5"/>
  <c r="H18" i="4" s="1"/>
  <c r="L18" i="33"/>
  <c r="L141" i="5"/>
  <c r="H141" i="4" s="1"/>
  <c r="L141" i="33"/>
  <c r="L113" i="13"/>
  <c r="L113" i="31"/>
  <c r="O75" i="23"/>
  <c r="L78" i="5"/>
  <c r="H78" i="4" s="1"/>
  <c r="L78" i="33"/>
  <c r="L148" i="5"/>
  <c r="H148" i="4" s="1"/>
  <c r="L148" i="33"/>
  <c r="L25" i="5"/>
  <c r="H25" i="4" s="1"/>
  <c r="L25" i="33"/>
  <c r="L146" i="13"/>
  <c r="L146" i="31"/>
  <c r="L31" i="13"/>
  <c r="L31" i="31"/>
  <c r="L130" i="13"/>
  <c r="L130" i="31"/>
  <c r="I159" i="27"/>
  <c r="J158" i="27"/>
  <c r="N158" i="23"/>
  <c r="N131" i="23" s="1"/>
  <c r="N42" i="23" s="1"/>
  <c r="N41" i="23" s="1"/>
  <c r="O159" i="23"/>
  <c r="L123" i="31" s="1"/>
  <c r="M132" i="23"/>
  <c r="M131" i="23"/>
  <c r="M42" i="23" s="1"/>
  <c r="M41" i="23" s="1"/>
  <c r="O26" i="23"/>
  <c r="L30" i="13"/>
  <c r="L45" i="13"/>
  <c r="O46" i="23"/>
  <c r="L43" i="31" s="1"/>
  <c r="L49" i="13"/>
  <c r="L157" i="13"/>
  <c r="L137" i="13"/>
  <c r="O165" i="23"/>
  <c r="L12" i="5"/>
  <c r="H12" i="4" s="1"/>
  <c r="L44" i="5"/>
  <c r="H44" i="4" s="1"/>
  <c r="L132" i="5"/>
  <c r="H132" i="4" s="1"/>
  <c r="L137" i="5" l="1"/>
  <c r="H137" i="4" s="1"/>
  <c r="L137" i="33"/>
  <c r="L31" i="5"/>
  <c r="H31" i="4" s="1"/>
  <c r="L31" i="33"/>
  <c r="L157" i="5"/>
  <c r="H157" i="4" s="1"/>
  <c r="L157" i="33"/>
  <c r="L30" i="5"/>
  <c r="H30" i="4" s="1"/>
  <c r="L30" i="33"/>
  <c r="L55" i="13"/>
  <c r="L55" i="31"/>
  <c r="L96" i="5"/>
  <c r="H96" i="4" s="1"/>
  <c r="L96" i="33"/>
  <c r="L124" i="5"/>
  <c r="H124" i="4" s="1"/>
  <c r="L124" i="33"/>
  <c r="L45" i="5"/>
  <c r="H45" i="4" s="1"/>
  <c r="L45" i="33"/>
  <c r="L49" i="5"/>
  <c r="H49" i="4" s="1"/>
  <c r="L49" i="33"/>
  <c r="L23" i="13"/>
  <c r="L23" i="31"/>
  <c r="L130" i="5"/>
  <c r="H130" i="4" s="1"/>
  <c r="L130" i="33"/>
  <c r="L146" i="5"/>
  <c r="H146" i="4" s="1"/>
  <c r="L146" i="33"/>
  <c r="L129" i="13"/>
  <c r="L129" i="31"/>
  <c r="L113" i="5"/>
  <c r="H113" i="4" s="1"/>
  <c r="L113" i="33"/>
  <c r="L125" i="5"/>
  <c r="H125" i="4" s="1"/>
  <c r="L125" i="33"/>
  <c r="L88" i="5"/>
  <c r="H88" i="4" s="1"/>
  <c r="L88" i="33"/>
  <c r="L59" i="5"/>
  <c r="H59" i="4" s="1"/>
  <c r="L59" i="33"/>
  <c r="L156" i="5"/>
  <c r="H156" i="4" s="1"/>
  <c r="L156" i="33"/>
  <c r="L72" i="5"/>
  <c r="H72" i="4" s="1"/>
  <c r="L72" i="33"/>
  <c r="O11" i="23"/>
  <c r="N191" i="23"/>
  <c r="I158" i="27"/>
  <c r="I131" i="27" s="1"/>
  <c r="I42" i="27" s="1"/>
  <c r="I41" i="27" s="1"/>
  <c r="I191" i="27" s="1"/>
  <c r="J131" i="27"/>
  <c r="J42" i="27" s="1"/>
  <c r="J41" i="27" s="1"/>
  <c r="J191" i="27" s="1"/>
  <c r="J194" i="27" s="1"/>
  <c r="I194" i="27" s="1"/>
  <c r="O44" i="23"/>
  <c r="L41" i="31" s="1"/>
  <c r="L43" i="13"/>
  <c r="L43" i="33" s="1"/>
  <c r="L123" i="13"/>
  <c r="O158" i="23"/>
  <c r="L122" i="31" s="1"/>
  <c r="M191" i="23"/>
  <c r="L206" i="23"/>
  <c r="L210" i="23" s="1"/>
  <c r="L11" i="13"/>
  <c r="O10" i="23" l="1"/>
  <c r="L10" i="31" s="1"/>
  <c r="L11" i="31"/>
  <c r="L23" i="5"/>
  <c r="H23" i="4" s="1"/>
  <c r="L23" i="33"/>
  <c r="L11" i="5"/>
  <c r="H11" i="4" s="1"/>
  <c r="L11" i="33"/>
  <c r="L123" i="5"/>
  <c r="H123" i="4" s="1"/>
  <c r="L123" i="33"/>
  <c r="L129" i="5"/>
  <c r="H129" i="4" s="1"/>
  <c r="L129" i="33"/>
  <c r="L55" i="5"/>
  <c r="H55" i="4" s="1"/>
  <c r="L55" i="33"/>
  <c r="M194" i="23"/>
  <c r="M195" i="23" s="1"/>
  <c r="N194" i="23"/>
  <c r="L41" i="13"/>
  <c r="O43" i="23"/>
  <c r="L40" i="31" s="1"/>
  <c r="L122" i="13"/>
  <c r="O131" i="23"/>
  <c r="L43" i="5"/>
  <c r="H43" i="4" s="1"/>
  <c r="L41" i="5" l="1"/>
  <c r="H41" i="4" s="1"/>
  <c r="L41" i="33"/>
  <c r="L95" i="13"/>
  <c r="L95" i="31"/>
  <c r="L122" i="5"/>
  <c r="H122" i="4" s="1"/>
  <c r="L122" i="33"/>
  <c r="O194" i="23"/>
  <c r="L158" i="31" s="1"/>
  <c r="N195" i="23"/>
  <c r="O195" i="23" s="1"/>
  <c r="L40" i="13"/>
  <c r="O42" i="23"/>
  <c r="L39" i="31" s="1"/>
  <c r="L42" i="5"/>
  <c r="H42" i="4" s="1"/>
  <c r="L159" i="13" l="1"/>
  <c r="L159" i="31"/>
  <c r="L95" i="5"/>
  <c r="H95" i="4" s="1"/>
  <c r="L95" i="33"/>
  <c r="L40" i="5"/>
  <c r="H40" i="4" s="1"/>
  <c r="L40" i="33"/>
  <c r="L39" i="13"/>
  <c r="O41" i="23"/>
  <c r="L38" i="31" s="1"/>
  <c r="L158" i="13"/>
  <c r="L39" i="5" l="1"/>
  <c r="H39" i="4" s="1"/>
  <c r="L39" i="33"/>
  <c r="L158" i="5"/>
  <c r="H158" i="4" s="1"/>
  <c r="L158" i="33"/>
  <c r="L38" i="13"/>
  <c r="O191" i="23"/>
  <c r="M193" i="22"/>
  <c r="L193" i="22"/>
  <c r="K193" i="22"/>
  <c r="J193" i="22"/>
  <c r="I190" i="22"/>
  <c r="P190" i="22" s="1"/>
  <c r="I189" i="22"/>
  <c r="P189" i="22" s="1"/>
  <c r="I188" i="22"/>
  <c r="P188" i="22" s="1"/>
  <c r="I187" i="22"/>
  <c r="M186" i="22"/>
  <c r="L186" i="22"/>
  <c r="K186" i="22"/>
  <c r="J186" i="22"/>
  <c r="I185" i="22"/>
  <c r="P185" i="22" s="1"/>
  <c r="I184" i="22"/>
  <c r="P184" i="22" s="1"/>
  <c r="M183" i="22"/>
  <c r="M182" i="22" s="1"/>
  <c r="L183" i="22"/>
  <c r="L182" i="22" s="1"/>
  <c r="K183" i="22"/>
  <c r="K182" i="22" s="1"/>
  <c r="J183" i="22"/>
  <c r="J182" i="22" s="1"/>
  <c r="I181" i="22"/>
  <c r="P181" i="22" s="1"/>
  <c r="I180" i="22"/>
  <c r="P180" i="22" s="1"/>
  <c r="I179" i="22"/>
  <c r="M178" i="22"/>
  <c r="L178" i="22"/>
  <c r="K178" i="22"/>
  <c r="K177" i="22" s="1"/>
  <c r="J178" i="22"/>
  <c r="J177" i="22" s="1"/>
  <c r="M177" i="22"/>
  <c r="M173" i="22" s="1"/>
  <c r="L177" i="22"/>
  <c r="L173" i="22" s="1"/>
  <c r="I175" i="22"/>
  <c r="P175" i="22" s="1"/>
  <c r="I174" i="22"/>
  <c r="M172" i="22"/>
  <c r="L172" i="22"/>
  <c r="K172" i="22"/>
  <c r="J172" i="22"/>
  <c r="I171" i="22"/>
  <c r="P171" i="22" s="1"/>
  <c r="I170" i="22"/>
  <c r="P170" i="22" s="1"/>
  <c r="I169" i="22"/>
  <c r="P169" i="22" s="1"/>
  <c r="I168" i="22"/>
  <c r="P168" i="22" s="1"/>
  <c r="I167" i="22"/>
  <c r="P167" i="22" s="1"/>
  <c r="M166" i="22"/>
  <c r="L166" i="22"/>
  <c r="K166" i="22"/>
  <c r="J166" i="22"/>
  <c r="I164" i="22"/>
  <c r="P164" i="22" s="1"/>
  <c r="I163" i="22"/>
  <c r="P163" i="22" s="1"/>
  <c r="I162" i="22"/>
  <c r="P162" i="22" s="1"/>
  <c r="H161" i="22"/>
  <c r="H160" i="22"/>
  <c r="H159" i="22"/>
  <c r="I157" i="22"/>
  <c r="P157" i="22" s="1"/>
  <c r="I156" i="22"/>
  <c r="P156" i="22" s="1"/>
  <c r="M155" i="22"/>
  <c r="L155" i="22"/>
  <c r="K155" i="22"/>
  <c r="J155" i="22"/>
  <c r="M154" i="22"/>
  <c r="M153" i="22" s="1"/>
  <c r="L154" i="22"/>
  <c r="L153" i="22" s="1"/>
  <c r="K154" i="22"/>
  <c r="K153" i="22" s="1"/>
  <c r="J154" i="22"/>
  <c r="I152" i="22"/>
  <c r="P152" i="22" s="1"/>
  <c r="I151" i="22"/>
  <c r="P151" i="22" s="1"/>
  <c r="M150" i="22"/>
  <c r="M149" i="22" s="1"/>
  <c r="L150" i="22"/>
  <c r="K150" i="22"/>
  <c r="J150" i="22"/>
  <c r="I148" i="22"/>
  <c r="P148" i="22" s="1"/>
  <c r="I147" i="22"/>
  <c r="P147" i="22" s="1"/>
  <c r="I146" i="22"/>
  <c r="M145" i="22"/>
  <c r="L145" i="22"/>
  <c r="K145" i="22"/>
  <c r="J145" i="22"/>
  <c r="I144" i="22"/>
  <c r="P144" i="22" s="1"/>
  <c r="I143" i="22"/>
  <c r="P143" i="22" s="1"/>
  <c r="I142" i="22"/>
  <c r="P142" i="22" s="1"/>
  <c r="I141" i="22"/>
  <c r="P141" i="22" s="1"/>
  <c r="K140" i="22"/>
  <c r="I140" i="22" s="1"/>
  <c r="P140" i="22" s="1"/>
  <c r="I139" i="22"/>
  <c r="P139" i="22" s="1"/>
  <c r="I138" i="22"/>
  <c r="P138" i="22" s="1"/>
  <c r="M137" i="22"/>
  <c r="L137" i="22"/>
  <c r="K137" i="22"/>
  <c r="J137" i="22"/>
  <c r="J132" i="22" s="1"/>
  <c r="I136" i="22"/>
  <c r="P136" i="22" s="1"/>
  <c r="I135" i="22"/>
  <c r="P135" i="22" s="1"/>
  <c r="I134" i="22"/>
  <c r="P134" i="22" s="1"/>
  <c r="M133" i="22"/>
  <c r="M161" i="22" s="1"/>
  <c r="L133" i="22"/>
  <c r="K133" i="22"/>
  <c r="J133" i="22"/>
  <c r="M132" i="22"/>
  <c r="I130" i="22"/>
  <c r="P130" i="22" s="1"/>
  <c r="I129" i="22"/>
  <c r="P129" i="22" s="1"/>
  <c r="I128" i="22"/>
  <c r="P128" i="22" s="1"/>
  <c r="I127" i="22"/>
  <c r="P127" i="22" s="1"/>
  <c r="I126" i="22"/>
  <c r="P126" i="22" s="1"/>
  <c r="I125" i="22"/>
  <c r="P125" i="22" s="1"/>
  <c r="I124" i="22"/>
  <c r="P124" i="22" s="1"/>
  <c r="I123" i="22"/>
  <c r="P123" i="22" s="1"/>
  <c r="I122" i="22"/>
  <c r="P122" i="22" s="1"/>
  <c r="M121" i="22"/>
  <c r="M115" i="22" s="1"/>
  <c r="L121" i="22"/>
  <c r="L115" i="22" s="1"/>
  <c r="K121" i="22"/>
  <c r="K115" i="22" s="1"/>
  <c r="J121" i="22"/>
  <c r="J115" i="22" s="1"/>
  <c r="I120" i="22"/>
  <c r="P120" i="22" s="1"/>
  <c r="I119" i="22"/>
  <c r="P119" i="22" s="1"/>
  <c r="I118" i="22"/>
  <c r="P118" i="22" s="1"/>
  <c r="I117" i="22"/>
  <c r="P117" i="22" s="1"/>
  <c r="I116" i="22"/>
  <c r="P116" i="22" s="1"/>
  <c r="I114" i="22"/>
  <c r="P114" i="22" s="1"/>
  <c r="I113" i="22"/>
  <c r="P113" i="22" s="1"/>
  <c r="I112" i="22"/>
  <c r="P112" i="22" s="1"/>
  <c r="I111" i="22"/>
  <c r="P111" i="22" s="1"/>
  <c r="M110" i="22"/>
  <c r="L110" i="22"/>
  <c r="K110" i="22"/>
  <c r="J110" i="22"/>
  <c r="I109" i="22"/>
  <c r="P109" i="22" s="1"/>
  <c r="I108" i="22"/>
  <c r="P108" i="22" s="1"/>
  <c r="I107" i="22"/>
  <c r="P107" i="22" s="1"/>
  <c r="I106" i="22"/>
  <c r="P106" i="22" s="1"/>
  <c r="I105" i="22"/>
  <c r="P105" i="22" s="1"/>
  <c r="I104" i="22"/>
  <c r="P104" i="22" s="1"/>
  <c r="I103" i="22"/>
  <c r="P103" i="22" s="1"/>
  <c r="I102" i="22"/>
  <c r="P102" i="22" s="1"/>
  <c r="M101" i="22"/>
  <c r="L101" i="22"/>
  <c r="K101" i="22"/>
  <c r="J101" i="22"/>
  <c r="I100" i="22"/>
  <c r="P100" i="22" s="1"/>
  <c r="I99" i="22"/>
  <c r="P99" i="22" s="1"/>
  <c r="I98" i="22"/>
  <c r="P98" i="22" s="1"/>
  <c r="I97" i="22"/>
  <c r="P97" i="22" s="1"/>
  <c r="M96" i="22"/>
  <c r="L96" i="22"/>
  <c r="K96" i="22"/>
  <c r="J96" i="22"/>
  <c r="I95" i="22"/>
  <c r="P95" i="22" s="1"/>
  <c r="I94" i="22"/>
  <c r="P94" i="22" s="1"/>
  <c r="I93" i="22"/>
  <c r="P93" i="22" s="1"/>
  <c r="I92" i="22"/>
  <c r="P92" i="22" s="1"/>
  <c r="I91" i="22"/>
  <c r="P91" i="22" s="1"/>
  <c r="I90" i="22"/>
  <c r="P90" i="22" s="1"/>
  <c r="I89" i="22"/>
  <c r="P89" i="22" s="1"/>
  <c r="I88" i="22"/>
  <c r="P88" i="22" s="1"/>
  <c r="I87" i="22"/>
  <c r="P87" i="22" s="1"/>
  <c r="M86" i="22"/>
  <c r="L86" i="22"/>
  <c r="K86" i="22"/>
  <c r="J86" i="22"/>
  <c r="I84" i="22"/>
  <c r="P84" i="22" s="1"/>
  <c r="I83" i="22"/>
  <c r="P83" i="22" s="1"/>
  <c r="I82" i="22"/>
  <c r="P82" i="22" s="1"/>
  <c r="I81" i="22"/>
  <c r="P81" i="22" s="1"/>
  <c r="I80" i="22"/>
  <c r="P80" i="22" s="1"/>
  <c r="M79" i="22"/>
  <c r="L79" i="22"/>
  <c r="K79" i="22"/>
  <c r="J79" i="22"/>
  <c r="I78" i="22"/>
  <c r="P78" i="22" s="1"/>
  <c r="I77" i="22"/>
  <c r="P77" i="22" s="1"/>
  <c r="I76" i="22"/>
  <c r="P76" i="22" s="1"/>
  <c r="I74" i="22"/>
  <c r="P74" i="22" s="1"/>
  <c r="I73" i="22"/>
  <c r="P73" i="22" s="1"/>
  <c r="I72" i="22"/>
  <c r="P72" i="22" s="1"/>
  <c r="M71" i="22"/>
  <c r="M70" i="22" s="1"/>
  <c r="L71" i="22"/>
  <c r="L70" i="22" s="1"/>
  <c r="K71" i="22"/>
  <c r="J71" i="22"/>
  <c r="J70" i="22" s="1"/>
  <c r="I69" i="22"/>
  <c r="P69" i="22" s="1"/>
  <c r="I68" i="22"/>
  <c r="P68" i="22" s="1"/>
  <c r="I67" i="22"/>
  <c r="P67" i="22" s="1"/>
  <c r="M66" i="22"/>
  <c r="M65" i="22" s="1"/>
  <c r="L66" i="22"/>
  <c r="K66" i="22"/>
  <c r="J66" i="22"/>
  <c r="I63" i="22"/>
  <c r="P63" i="22" s="1"/>
  <c r="I62" i="22"/>
  <c r="P62" i="22" s="1"/>
  <c r="I61" i="22"/>
  <c r="P61" i="22" s="1"/>
  <c r="I60" i="22"/>
  <c r="P60" i="22" s="1"/>
  <c r="I59" i="22"/>
  <c r="P59" i="22" s="1"/>
  <c r="M58" i="22"/>
  <c r="L58" i="22"/>
  <c r="K58" i="22"/>
  <c r="J58" i="22"/>
  <c r="I57" i="22"/>
  <c r="P57" i="22" s="1"/>
  <c r="I56" i="22"/>
  <c r="P56" i="22" s="1"/>
  <c r="I55" i="22"/>
  <c r="P55" i="22" s="1"/>
  <c r="M54" i="22"/>
  <c r="L54" i="22"/>
  <c r="K54" i="22"/>
  <c r="J54" i="22"/>
  <c r="I53" i="22"/>
  <c r="P53" i="22" s="1"/>
  <c r="I52" i="22"/>
  <c r="P52" i="22" s="1"/>
  <c r="I51" i="22"/>
  <c r="P51" i="22" s="1"/>
  <c r="I50" i="22"/>
  <c r="P50" i="22" s="1"/>
  <c r="I49" i="22"/>
  <c r="P49" i="22" s="1"/>
  <c r="I48" i="22"/>
  <c r="P48" i="22" s="1"/>
  <c r="M47" i="22"/>
  <c r="L47" i="22"/>
  <c r="K47" i="22"/>
  <c r="K46" i="22" s="1"/>
  <c r="J47" i="22"/>
  <c r="I45" i="22"/>
  <c r="P45" i="22" s="1"/>
  <c r="I40" i="22"/>
  <c r="P40" i="22" s="1"/>
  <c r="I39" i="22"/>
  <c r="P39" i="22" s="1"/>
  <c r="I38" i="22"/>
  <c r="P38" i="22" s="1"/>
  <c r="I37" i="22"/>
  <c r="P37" i="22" s="1"/>
  <c r="I36" i="22"/>
  <c r="I35" i="22"/>
  <c r="P35" i="22" s="1"/>
  <c r="M34" i="22"/>
  <c r="L34" i="22"/>
  <c r="K34" i="22"/>
  <c r="J34" i="22"/>
  <c r="I33" i="22"/>
  <c r="P33" i="22" s="1"/>
  <c r="I32" i="22"/>
  <c r="P32" i="22" s="1"/>
  <c r="I31" i="22"/>
  <c r="P31" i="22" s="1"/>
  <c r="I30" i="22"/>
  <c r="P30" i="22" s="1"/>
  <c r="I29" i="22"/>
  <c r="P29" i="22" s="1"/>
  <c r="M28" i="22"/>
  <c r="M26" i="22" s="1"/>
  <c r="L28" i="22"/>
  <c r="L26" i="22" s="1"/>
  <c r="K28" i="22"/>
  <c r="K26" i="22" s="1"/>
  <c r="J28" i="22"/>
  <c r="J26" i="22" s="1"/>
  <c r="I27" i="22"/>
  <c r="P27" i="22" s="1"/>
  <c r="I24" i="22"/>
  <c r="P24" i="22" s="1"/>
  <c r="I23" i="22"/>
  <c r="P23" i="22" s="1"/>
  <c r="I22" i="22"/>
  <c r="M21" i="22"/>
  <c r="L21" i="22"/>
  <c r="K21" i="22"/>
  <c r="J21" i="22"/>
  <c r="I19" i="22"/>
  <c r="P19" i="22" s="1"/>
  <c r="I18" i="22"/>
  <c r="P18" i="22" s="1"/>
  <c r="I17" i="22"/>
  <c r="P17" i="22" s="1"/>
  <c r="I16" i="22"/>
  <c r="P16" i="22" s="1"/>
  <c r="I15" i="22"/>
  <c r="P15" i="22" s="1"/>
  <c r="M14" i="22"/>
  <c r="M12" i="22" s="1"/>
  <c r="L14" i="22"/>
  <c r="L12" i="22" s="1"/>
  <c r="L11" i="22" s="1"/>
  <c r="L10" i="22" s="1"/>
  <c r="K14" i="22"/>
  <c r="K12" i="22" s="1"/>
  <c r="J14" i="22"/>
  <c r="J12" i="22" s="1"/>
  <c r="I13" i="22"/>
  <c r="P13" i="22" s="1"/>
  <c r="M14" i="29"/>
  <c r="M12" i="29" s="1"/>
  <c r="I15" i="29"/>
  <c r="I194" i="29"/>
  <c r="M193" i="29"/>
  <c r="L193" i="29"/>
  <c r="K193" i="29"/>
  <c r="J193" i="29"/>
  <c r="I190" i="29"/>
  <c r="I189" i="29"/>
  <c r="I188" i="29"/>
  <c r="I187" i="29"/>
  <c r="M186" i="29"/>
  <c r="L186" i="29"/>
  <c r="K186" i="29"/>
  <c r="J186" i="29"/>
  <c r="I185" i="29"/>
  <c r="I184" i="29"/>
  <c r="I183" i="29" s="1"/>
  <c r="M183" i="29"/>
  <c r="M182" i="29" s="1"/>
  <c r="L183" i="29"/>
  <c r="L182" i="29" s="1"/>
  <c r="K183" i="29"/>
  <c r="K182" i="29" s="1"/>
  <c r="J183" i="29"/>
  <c r="J182" i="29" s="1"/>
  <c r="I181" i="29"/>
  <c r="I180" i="29"/>
  <c r="I179" i="29"/>
  <c r="M178" i="29"/>
  <c r="M177" i="29" s="1"/>
  <c r="L178" i="29"/>
  <c r="L177" i="29" s="1"/>
  <c r="L173" i="29" s="1"/>
  <c r="K178" i="29"/>
  <c r="K177" i="29" s="1"/>
  <c r="K192" i="29" s="1"/>
  <c r="J178" i="29"/>
  <c r="J177" i="29" s="1"/>
  <c r="I175" i="29"/>
  <c r="I174" i="29"/>
  <c r="I172" i="29"/>
  <c r="I171" i="29"/>
  <c r="I170" i="29"/>
  <c r="I169" i="29"/>
  <c r="I168" i="29"/>
  <c r="I167" i="29"/>
  <c r="M166" i="29"/>
  <c r="L166" i="29"/>
  <c r="K166" i="29"/>
  <c r="J166" i="29"/>
  <c r="I166" i="29"/>
  <c r="I164" i="29"/>
  <c r="I163" i="29"/>
  <c r="I162" i="29"/>
  <c r="H159" i="29"/>
  <c r="H158" i="29" s="1"/>
  <c r="I157" i="29"/>
  <c r="I156" i="29"/>
  <c r="I155" i="29"/>
  <c r="I154" i="29"/>
  <c r="M153" i="29"/>
  <c r="M149" i="29" s="1"/>
  <c r="L153" i="29"/>
  <c r="K153" i="29"/>
  <c r="J153" i="29"/>
  <c r="I152" i="29"/>
  <c r="I151" i="29"/>
  <c r="M150" i="29"/>
  <c r="L150" i="29"/>
  <c r="K150" i="29"/>
  <c r="K149" i="29" s="1"/>
  <c r="J150" i="29"/>
  <c r="L149" i="29"/>
  <c r="I148" i="29"/>
  <c r="I147" i="29"/>
  <c r="I146" i="29"/>
  <c r="M145" i="29"/>
  <c r="L145" i="29"/>
  <c r="K145" i="29"/>
  <c r="J145" i="29"/>
  <c r="I144" i="29"/>
  <c r="I143" i="29"/>
  <c r="I142" i="29"/>
  <c r="I141" i="29"/>
  <c r="I140" i="29"/>
  <c r="I139" i="29"/>
  <c r="I138" i="29"/>
  <c r="M137" i="29"/>
  <c r="L137" i="29"/>
  <c r="K137" i="29"/>
  <c r="J137" i="29"/>
  <c r="I136" i="29"/>
  <c r="I135" i="29"/>
  <c r="I134" i="29"/>
  <c r="M133" i="29"/>
  <c r="M132" i="29" s="1"/>
  <c r="L133" i="29"/>
  <c r="K133" i="29"/>
  <c r="J133" i="29"/>
  <c r="I130" i="29"/>
  <c r="I129" i="29"/>
  <c r="I128" i="29"/>
  <c r="I127" i="29"/>
  <c r="I126" i="29"/>
  <c r="I125" i="29"/>
  <c r="I124" i="29"/>
  <c r="I123" i="29"/>
  <c r="I122" i="29"/>
  <c r="M121" i="29"/>
  <c r="M115" i="29" s="1"/>
  <c r="L121" i="29"/>
  <c r="L115" i="29" s="1"/>
  <c r="K121" i="29"/>
  <c r="K115" i="29" s="1"/>
  <c r="J121" i="29"/>
  <c r="J115" i="29" s="1"/>
  <c r="I120" i="29"/>
  <c r="I119" i="29"/>
  <c r="I118" i="29"/>
  <c r="I117" i="29"/>
  <c r="I116" i="29"/>
  <c r="I114" i="29"/>
  <c r="I113" i="29"/>
  <c r="I112" i="29"/>
  <c r="I111" i="29"/>
  <c r="M110" i="29"/>
  <c r="L110" i="29"/>
  <c r="K110" i="29"/>
  <c r="J110" i="29"/>
  <c r="I109" i="29"/>
  <c r="I108" i="29"/>
  <c r="I107" i="29"/>
  <c r="I106" i="29"/>
  <c r="I105" i="29"/>
  <c r="I104" i="29"/>
  <c r="I103" i="29"/>
  <c r="I102" i="29"/>
  <c r="M101" i="29"/>
  <c r="L101" i="29"/>
  <c r="K101" i="29"/>
  <c r="J101" i="29"/>
  <c r="I100" i="29"/>
  <c r="I99" i="29"/>
  <c r="I98" i="29"/>
  <c r="I97" i="29"/>
  <c r="I96" i="29" s="1"/>
  <c r="M96" i="29"/>
  <c r="L96" i="29"/>
  <c r="K96" i="29"/>
  <c r="J96" i="29"/>
  <c r="I95" i="29"/>
  <c r="M91" i="29"/>
  <c r="L91" i="29"/>
  <c r="K91" i="29"/>
  <c r="J91" i="29"/>
  <c r="I90" i="29"/>
  <c r="I89" i="29"/>
  <c r="I88" i="29"/>
  <c r="I87" i="29"/>
  <c r="M86" i="29"/>
  <c r="L86" i="29"/>
  <c r="K86" i="29"/>
  <c r="J86" i="29"/>
  <c r="I84" i="29"/>
  <c r="I83" i="29"/>
  <c r="I82" i="29"/>
  <c r="I81" i="29"/>
  <c r="I80" i="29"/>
  <c r="M79" i="29"/>
  <c r="L79" i="29"/>
  <c r="K79" i="29"/>
  <c r="J79" i="29"/>
  <c r="I78" i="29"/>
  <c r="I77" i="29"/>
  <c r="I76" i="29"/>
  <c r="I74" i="29"/>
  <c r="I73" i="29"/>
  <c r="I72" i="29"/>
  <c r="I71" i="29"/>
  <c r="M70" i="29"/>
  <c r="L70" i="29"/>
  <c r="K70" i="29"/>
  <c r="J70" i="29"/>
  <c r="I69" i="29"/>
  <c r="I68" i="29"/>
  <c r="I67" i="29"/>
  <c r="M66" i="29"/>
  <c r="L66" i="29"/>
  <c r="K66" i="29"/>
  <c r="K65" i="29" s="1"/>
  <c r="J66" i="29"/>
  <c r="I63" i="29"/>
  <c r="I62" i="29"/>
  <c r="I61" i="29"/>
  <c r="I60" i="29"/>
  <c r="I59" i="29"/>
  <c r="M58" i="29"/>
  <c r="L58" i="29"/>
  <c r="K58" i="29"/>
  <c r="J58" i="29"/>
  <c r="I58" i="29" s="1"/>
  <c r="I57" i="29"/>
  <c r="I56" i="29"/>
  <c r="I55" i="29"/>
  <c r="M54" i="29"/>
  <c r="L54" i="29"/>
  <c r="K54" i="29"/>
  <c r="J54" i="29"/>
  <c r="I53" i="29"/>
  <c r="I52" i="29"/>
  <c r="I51" i="29"/>
  <c r="I50" i="29"/>
  <c r="I49" i="29"/>
  <c r="I48" i="29"/>
  <c r="M47" i="29"/>
  <c r="L47" i="29"/>
  <c r="L46" i="29" s="1"/>
  <c r="K47" i="29"/>
  <c r="I47" i="29" s="1"/>
  <c r="J47" i="29"/>
  <c r="J46" i="29" s="1"/>
  <c r="I45" i="29"/>
  <c r="I40" i="29"/>
  <c r="I39" i="29"/>
  <c r="I38" i="29"/>
  <c r="I37" i="29"/>
  <c r="I36" i="29"/>
  <c r="I35" i="29"/>
  <c r="M34" i="29"/>
  <c r="L34" i="29"/>
  <c r="K34" i="29"/>
  <c r="J34" i="29"/>
  <c r="I33" i="29"/>
  <c r="I31" i="29"/>
  <c r="I30" i="29"/>
  <c r="I29" i="29"/>
  <c r="M28" i="29"/>
  <c r="M26" i="29" s="1"/>
  <c r="L28" i="29"/>
  <c r="L26" i="29" s="1"/>
  <c r="K28" i="29"/>
  <c r="K26" i="29" s="1"/>
  <c r="J28" i="29"/>
  <c r="J26" i="29" s="1"/>
  <c r="I27" i="29"/>
  <c r="I24" i="29"/>
  <c r="I23" i="29"/>
  <c r="I22" i="29"/>
  <c r="M21" i="29"/>
  <c r="L21" i="29"/>
  <c r="K21" i="29"/>
  <c r="J21" i="29"/>
  <c r="I19" i="29"/>
  <c r="I18" i="29"/>
  <c r="I17" i="29"/>
  <c r="I16" i="29"/>
  <c r="L14" i="29"/>
  <c r="L12" i="29" s="1"/>
  <c r="K14" i="29"/>
  <c r="K12" i="29" s="1"/>
  <c r="I13" i="29"/>
  <c r="N12" i="29"/>
  <c r="N21" i="29"/>
  <c r="N28" i="29"/>
  <c r="N26" i="29" s="1"/>
  <c r="N34" i="29"/>
  <c r="N47" i="29"/>
  <c r="N54" i="29"/>
  <c r="N58" i="29"/>
  <c r="N44" i="29" s="1"/>
  <c r="N66" i="29"/>
  <c r="N70" i="29"/>
  <c r="N79" i="29"/>
  <c r="N86" i="29"/>
  <c r="N91" i="29"/>
  <c r="N96" i="29"/>
  <c r="N101" i="29"/>
  <c r="N110" i="29"/>
  <c r="N121" i="29"/>
  <c r="N115" i="29" s="1"/>
  <c r="N133" i="29"/>
  <c r="N137" i="29"/>
  <c r="N145" i="29"/>
  <c r="N150" i="29"/>
  <c r="N153" i="29"/>
  <c r="N158" i="29"/>
  <c r="N166" i="29"/>
  <c r="N178" i="29"/>
  <c r="N177" i="29" s="1"/>
  <c r="N183" i="29"/>
  <c r="N182" i="29" s="1"/>
  <c r="N186" i="29"/>
  <c r="M193" i="21"/>
  <c r="L193" i="21"/>
  <c r="K193" i="21"/>
  <c r="J193" i="21"/>
  <c r="I190" i="21"/>
  <c r="I189" i="21"/>
  <c r="I188" i="21"/>
  <c r="I187" i="21"/>
  <c r="I186" i="21" s="1"/>
  <c r="M186" i="21"/>
  <c r="L186" i="21"/>
  <c r="K186" i="21"/>
  <c r="J186" i="21"/>
  <c r="I185" i="21"/>
  <c r="I184" i="21"/>
  <c r="M183" i="21"/>
  <c r="M182" i="21" s="1"/>
  <c r="L183" i="21"/>
  <c r="L182" i="21" s="1"/>
  <c r="K183" i="21"/>
  <c r="K182" i="21" s="1"/>
  <c r="J183" i="21"/>
  <c r="J182" i="21" s="1"/>
  <c r="I181" i="21"/>
  <c r="I180" i="21"/>
  <c r="I179" i="21"/>
  <c r="M178" i="21"/>
  <c r="M177" i="21" s="1"/>
  <c r="L178" i="21"/>
  <c r="L177" i="21" s="1"/>
  <c r="K178" i="21"/>
  <c r="K177" i="21" s="1"/>
  <c r="K192" i="21" s="1"/>
  <c r="J178" i="21"/>
  <c r="J177" i="21" s="1"/>
  <c r="I175" i="21"/>
  <c r="I174" i="21"/>
  <c r="I172" i="21"/>
  <c r="I171" i="21"/>
  <c r="I170" i="21"/>
  <c r="I169" i="21"/>
  <c r="I168" i="21"/>
  <c r="I167" i="21"/>
  <c r="I166" i="21" s="1"/>
  <c r="M166" i="21"/>
  <c r="L166" i="21"/>
  <c r="K166" i="21"/>
  <c r="J166" i="21"/>
  <c r="I164" i="21"/>
  <c r="I163" i="21"/>
  <c r="I162" i="21"/>
  <c r="H159" i="21"/>
  <c r="H158" i="21" s="1"/>
  <c r="I157" i="21"/>
  <c r="I156" i="21"/>
  <c r="I155" i="21"/>
  <c r="I154" i="21"/>
  <c r="M153" i="21"/>
  <c r="L153" i="21"/>
  <c r="K153" i="21"/>
  <c r="J153" i="21"/>
  <c r="I152" i="21"/>
  <c r="I151" i="21"/>
  <c r="M150" i="21"/>
  <c r="L150" i="21"/>
  <c r="K150" i="21"/>
  <c r="K149" i="21" s="1"/>
  <c r="J150" i="21"/>
  <c r="I148" i="21"/>
  <c r="I147" i="21"/>
  <c r="I146" i="21"/>
  <c r="M145" i="21"/>
  <c r="L145" i="21"/>
  <c r="K145" i="21"/>
  <c r="J145" i="21"/>
  <c r="I144" i="21"/>
  <c r="I143" i="21"/>
  <c r="I142" i="21"/>
  <c r="I141" i="21"/>
  <c r="I140" i="21"/>
  <c r="I139" i="21"/>
  <c r="I138" i="21"/>
  <c r="M137" i="21"/>
  <c r="L137" i="21"/>
  <c r="K137" i="21"/>
  <c r="J137" i="21"/>
  <c r="I136" i="21"/>
  <c r="I135" i="21"/>
  <c r="I134" i="21"/>
  <c r="M133" i="21"/>
  <c r="L133" i="21"/>
  <c r="K133" i="21"/>
  <c r="J133" i="21"/>
  <c r="I130" i="21"/>
  <c r="I129" i="21"/>
  <c r="I128" i="21"/>
  <c r="I127" i="21"/>
  <c r="I126" i="21"/>
  <c r="I125" i="21"/>
  <c r="I124" i="21"/>
  <c r="I123" i="21"/>
  <c r="I122" i="21"/>
  <c r="M121" i="21"/>
  <c r="M115" i="21" s="1"/>
  <c r="L121" i="21"/>
  <c r="L115" i="21" s="1"/>
  <c r="K121" i="21"/>
  <c r="K115" i="21" s="1"/>
  <c r="J121" i="21"/>
  <c r="J115" i="21" s="1"/>
  <c r="I120" i="21"/>
  <c r="I119" i="21"/>
  <c r="I118" i="21"/>
  <c r="I117" i="21"/>
  <c r="I116" i="21"/>
  <c r="I114" i="21"/>
  <c r="I113" i="21"/>
  <c r="I112" i="21"/>
  <c r="I111" i="21"/>
  <c r="M110" i="21"/>
  <c r="L110" i="21"/>
  <c r="K110" i="21"/>
  <c r="J110" i="21"/>
  <c r="I109" i="21"/>
  <c r="I108" i="21"/>
  <c r="I107" i="21"/>
  <c r="I106" i="21"/>
  <c r="I105" i="21"/>
  <c r="I104" i="21"/>
  <c r="I103" i="21"/>
  <c r="I102" i="21"/>
  <c r="M101" i="21"/>
  <c r="L101" i="21"/>
  <c r="K101" i="21"/>
  <c r="J101" i="21"/>
  <c r="I100" i="21"/>
  <c r="I99" i="21"/>
  <c r="I98" i="21"/>
  <c r="I97" i="21"/>
  <c r="I96" i="21" s="1"/>
  <c r="M96" i="21"/>
  <c r="L96" i="21"/>
  <c r="K96" i="21"/>
  <c r="J96" i="21"/>
  <c r="I95" i="21"/>
  <c r="I94" i="21"/>
  <c r="I93" i="21"/>
  <c r="I92" i="21"/>
  <c r="M91" i="21"/>
  <c r="L91" i="21"/>
  <c r="K91" i="21"/>
  <c r="J91" i="21"/>
  <c r="I90" i="21"/>
  <c r="I89" i="21"/>
  <c r="I88" i="21"/>
  <c r="I87" i="21"/>
  <c r="M86" i="21"/>
  <c r="L86" i="21"/>
  <c r="K86" i="21"/>
  <c r="J86" i="21"/>
  <c r="I84" i="21"/>
  <c r="I83" i="21"/>
  <c r="I82" i="21"/>
  <c r="I81" i="21"/>
  <c r="I80" i="21"/>
  <c r="I79" i="21" s="1"/>
  <c r="M79" i="21"/>
  <c r="L79" i="21"/>
  <c r="K79" i="21"/>
  <c r="J79" i="21"/>
  <c r="I78" i="21"/>
  <c r="I77" i="21"/>
  <c r="I76" i="21"/>
  <c r="I74" i="21"/>
  <c r="I73" i="21"/>
  <c r="I72" i="21"/>
  <c r="I71" i="21"/>
  <c r="I70" i="21"/>
  <c r="I69" i="21"/>
  <c r="I68" i="21"/>
  <c r="I67" i="21"/>
  <c r="M66" i="21"/>
  <c r="M65" i="21" s="1"/>
  <c r="L66" i="21"/>
  <c r="L65" i="21" s="1"/>
  <c r="K66" i="21"/>
  <c r="K65" i="21" s="1"/>
  <c r="J66" i="21"/>
  <c r="I63" i="21"/>
  <c r="I62" i="21"/>
  <c r="I61" i="21"/>
  <c r="I60" i="21"/>
  <c r="I59" i="21"/>
  <c r="M58" i="21"/>
  <c r="L58" i="21"/>
  <c r="K58" i="21"/>
  <c r="J58" i="21"/>
  <c r="I58" i="21" s="1"/>
  <c r="I57" i="21"/>
  <c r="I56" i="21"/>
  <c r="I55" i="21"/>
  <c r="L54" i="21"/>
  <c r="K54" i="21"/>
  <c r="J54" i="21"/>
  <c r="I53" i="21"/>
  <c r="I52" i="21"/>
  <c r="I51" i="21"/>
  <c r="I50" i="21"/>
  <c r="I49" i="21"/>
  <c r="I48" i="21"/>
  <c r="M47" i="21"/>
  <c r="L47" i="21"/>
  <c r="K47" i="21"/>
  <c r="K46" i="21" s="1"/>
  <c r="K44" i="21" s="1"/>
  <c r="J47" i="21"/>
  <c r="M46" i="21"/>
  <c r="M44" i="21" s="1"/>
  <c r="L46" i="21"/>
  <c r="I45" i="21"/>
  <c r="I40" i="21"/>
  <c r="I39" i="21"/>
  <c r="I38" i="21"/>
  <c r="I37" i="21"/>
  <c r="I36" i="21"/>
  <c r="I35" i="21"/>
  <c r="M34" i="21"/>
  <c r="L34" i="21"/>
  <c r="K34" i="21"/>
  <c r="J34" i="21"/>
  <c r="I33" i="21"/>
  <c r="I32" i="21"/>
  <c r="I31" i="21"/>
  <c r="I30" i="21"/>
  <c r="I29" i="21"/>
  <c r="M28" i="21"/>
  <c r="M26" i="21" s="1"/>
  <c r="L28" i="21"/>
  <c r="K28" i="21"/>
  <c r="K26" i="21" s="1"/>
  <c r="J28" i="21"/>
  <c r="I27" i="21"/>
  <c r="L26" i="21"/>
  <c r="I25" i="21"/>
  <c r="I24" i="21"/>
  <c r="I23" i="21"/>
  <c r="I22" i="21"/>
  <c r="I21" i="21" s="1"/>
  <c r="M21" i="21"/>
  <c r="L21" i="21"/>
  <c r="K21" i="21"/>
  <c r="J21" i="21"/>
  <c r="I19" i="21"/>
  <c r="I18" i="21"/>
  <c r="I17" i="21"/>
  <c r="I16" i="21"/>
  <c r="I15" i="21"/>
  <c r="M14" i="21"/>
  <c r="L14" i="21"/>
  <c r="L12" i="21" s="1"/>
  <c r="K14" i="21"/>
  <c r="K12" i="21" s="1"/>
  <c r="J14" i="21"/>
  <c r="I13" i="21"/>
  <c r="M12" i="21"/>
  <c r="N12" i="21"/>
  <c r="N21" i="21"/>
  <c r="N28" i="21"/>
  <c r="N26" i="21" s="1"/>
  <c r="N34" i="21"/>
  <c r="N44" i="21"/>
  <c r="N47" i="21"/>
  <c r="N54" i="21"/>
  <c r="N58" i="21"/>
  <c r="N66" i="21"/>
  <c r="N65" i="21" s="1"/>
  <c r="N70" i="21"/>
  <c r="N79" i="21"/>
  <c r="N86" i="21"/>
  <c r="N91" i="21"/>
  <c r="N96" i="21"/>
  <c r="N101" i="21"/>
  <c r="N110" i="21"/>
  <c r="N121" i="21"/>
  <c r="N115" i="21" s="1"/>
  <c r="N133" i="21"/>
  <c r="N137" i="21"/>
  <c r="N145" i="21"/>
  <c r="N150" i="21"/>
  <c r="N153" i="21"/>
  <c r="N158" i="21"/>
  <c r="N166" i="21"/>
  <c r="N178" i="21"/>
  <c r="N177" i="21" s="1"/>
  <c r="N183" i="21"/>
  <c r="N182" i="21" s="1"/>
  <c r="N186" i="21"/>
  <c r="L132" i="21" l="1"/>
  <c r="M149" i="21"/>
  <c r="K11" i="29"/>
  <c r="K10" i="29" s="1"/>
  <c r="J75" i="29"/>
  <c r="M46" i="22"/>
  <c r="M44" i="22" s="1"/>
  <c r="P174" i="22"/>
  <c r="I178" i="22"/>
  <c r="P179" i="22"/>
  <c r="I21" i="22"/>
  <c r="P21" i="22" s="1"/>
  <c r="P22" i="22"/>
  <c r="L149" i="21"/>
  <c r="L161" i="21" s="1"/>
  <c r="I34" i="22"/>
  <c r="P34" i="22" s="1"/>
  <c r="P36" i="22"/>
  <c r="L149" i="22"/>
  <c r="I186" i="22"/>
  <c r="P186" i="22" s="1"/>
  <c r="P187" i="22"/>
  <c r="L155" i="13"/>
  <c r="L155" i="31"/>
  <c r="I101" i="21"/>
  <c r="I75" i="21" s="1"/>
  <c r="I183" i="21"/>
  <c r="J44" i="29"/>
  <c r="M65" i="29"/>
  <c r="I145" i="22"/>
  <c r="P145" i="22" s="1"/>
  <c r="P146" i="22"/>
  <c r="L38" i="5"/>
  <c r="H38" i="4" s="1"/>
  <c r="L38" i="33"/>
  <c r="M75" i="21"/>
  <c r="M43" i="21" s="1"/>
  <c r="K159" i="29"/>
  <c r="I54" i="22"/>
  <c r="P54" i="22" s="1"/>
  <c r="K149" i="22"/>
  <c r="K161" i="22" s="1"/>
  <c r="I178" i="21"/>
  <c r="I177" i="21" s="1"/>
  <c r="I173" i="21" s="1"/>
  <c r="I165" i="21" s="1"/>
  <c r="N65" i="29"/>
  <c r="I193" i="29"/>
  <c r="J11" i="22"/>
  <c r="J10" i="22" s="1"/>
  <c r="I71" i="22"/>
  <c r="P71" i="22" s="1"/>
  <c r="I96" i="22"/>
  <c r="P96" i="22" s="1"/>
  <c r="I34" i="21"/>
  <c r="J132" i="21"/>
  <c r="I145" i="21"/>
  <c r="L11" i="29"/>
  <c r="L10" i="29" s="1"/>
  <c r="I137" i="29"/>
  <c r="M11" i="22"/>
  <c r="M10" i="22" s="1"/>
  <c r="I14" i="21"/>
  <c r="I12" i="21" s="1"/>
  <c r="K75" i="21"/>
  <c r="M132" i="21"/>
  <c r="I21" i="29"/>
  <c r="L65" i="29"/>
  <c r="M161" i="29"/>
  <c r="J132" i="29"/>
  <c r="K11" i="22"/>
  <c r="K10" i="22" s="1"/>
  <c r="J75" i="22"/>
  <c r="I79" i="22"/>
  <c r="P79" i="22" s="1"/>
  <c r="M75" i="22"/>
  <c r="M43" i="22" s="1"/>
  <c r="I155" i="22"/>
  <c r="P155" i="22" s="1"/>
  <c r="I166" i="22"/>
  <c r="P166" i="22" s="1"/>
  <c r="N173" i="21"/>
  <c r="N193" i="21" s="1"/>
  <c r="N192" i="21"/>
  <c r="L173" i="21"/>
  <c r="L165" i="21" s="1"/>
  <c r="L192" i="21"/>
  <c r="N173" i="29"/>
  <c r="N193" i="29" s="1"/>
  <c r="N192" i="29"/>
  <c r="K43" i="21"/>
  <c r="N75" i="29"/>
  <c r="N43" i="29" s="1"/>
  <c r="K75" i="29"/>
  <c r="M160" i="22"/>
  <c r="H158" i="22"/>
  <c r="J12" i="21"/>
  <c r="K11" i="21"/>
  <c r="K10" i="21" s="1"/>
  <c r="I28" i="21"/>
  <c r="L44" i="21"/>
  <c r="I86" i="21"/>
  <c r="I91" i="21"/>
  <c r="I137" i="21"/>
  <c r="I193" i="21"/>
  <c r="N149" i="29"/>
  <c r="N131" i="29" s="1"/>
  <c r="N132" i="29"/>
  <c r="I28" i="29"/>
  <c r="I26" i="29" s="1"/>
  <c r="I34" i="29"/>
  <c r="K46" i="29"/>
  <c r="K44" i="29" s="1"/>
  <c r="L44" i="29"/>
  <c r="I54" i="29"/>
  <c r="I46" i="29" s="1"/>
  <c r="I44" i="29" s="1"/>
  <c r="I86" i="29"/>
  <c r="I75" i="29" s="1"/>
  <c r="I110" i="29"/>
  <c r="L132" i="29"/>
  <c r="I133" i="29"/>
  <c r="I132" i="29" s="1"/>
  <c r="J46" i="22"/>
  <c r="J44" i="22" s="1"/>
  <c r="I66" i="22"/>
  <c r="P66" i="22" s="1"/>
  <c r="K70" i="22"/>
  <c r="K65" i="22" s="1"/>
  <c r="L65" i="22"/>
  <c r="I86" i="22"/>
  <c r="P86" i="22" s="1"/>
  <c r="I101" i="22"/>
  <c r="P101" i="22" s="1"/>
  <c r="I150" i="22"/>
  <c r="P150" i="22" s="1"/>
  <c r="I154" i="22"/>
  <c r="P154" i="22" s="1"/>
  <c r="I172" i="22"/>
  <c r="I193" i="22"/>
  <c r="P193" i="22" s="1"/>
  <c r="N75" i="21"/>
  <c r="M11" i="21"/>
  <c r="M10" i="21" s="1"/>
  <c r="L11" i="21"/>
  <c r="L10" i="21" s="1"/>
  <c r="I110" i="21"/>
  <c r="I133" i="21"/>
  <c r="N165" i="29"/>
  <c r="M46" i="29"/>
  <c r="M44" i="29" s="1"/>
  <c r="I70" i="29"/>
  <c r="I79" i="29"/>
  <c r="M75" i="29"/>
  <c r="I150" i="29"/>
  <c r="I153" i="29"/>
  <c r="M11" i="29"/>
  <c r="M10" i="29" s="1"/>
  <c r="K75" i="22"/>
  <c r="I137" i="22"/>
  <c r="P137" i="22" s="1"/>
  <c r="M192" i="22"/>
  <c r="N149" i="21"/>
  <c r="N131" i="21" s="1"/>
  <c r="N132" i="21"/>
  <c r="I47" i="21"/>
  <c r="I54" i="21"/>
  <c r="I66" i="21"/>
  <c r="I65" i="21" s="1"/>
  <c r="L75" i="21"/>
  <c r="M161" i="21"/>
  <c r="I150" i="21"/>
  <c r="I153" i="21"/>
  <c r="I66" i="29"/>
  <c r="I65" i="29" s="1"/>
  <c r="I91" i="29"/>
  <c r="I101" i="29"/>
  <c r="I145" i="29"/>
  <c r="I178" i="29"/>
  <c r="I177" i="29" s="1"/>
  <c r="I173" i="29" s="1"/>
  <c r="I165" i="29" s="1"/>
  <c r="I186" i="29"/>
  <c r="I182" i="29" s="1"/>
  <c r="L192" i="29"/>
  <c r="I14" i="22"/>
  <c r="I28" i="22"/>
  <c r="L46" i="22"/>
  <c r="L44" i="22" s="1"/>
  <c r="I58" i="22"/>
  <c r="P58" i="22" s="1"/>
  <c r="L75" i="22"/>
  <c r="I110" i="22"/>
  <c r="P110" i="22" s="1"/>
  <c r="I133" i="22"/>
  <c r="P133" i="22" s="1"/>
  <c r="I183" i="22"/>
  <c r="K44" i="22"/>
  <c r="M165" i="22"/>
  <c r="I132" i="22"/>
  <c r="P132" i="22" s="1"/>
  <c r="J192" i="22"/>
  <c r="J173" i="22"/>
  <c r="J165" i="22" s="1"/>
  <c r="K192" i="22"/>
  <c r="K173" i="22"/>
  <c r="K165" i="22" s="1"/>
  <c r="I47" i="22"/>
  <c r="P47" i="22" s="1"/>
  <c r="L159" i="22"/>
  <c r="L161" i="22"/>
  <c r="L165" i="22"/>
  <c r="J65" i="22"/>
  <c r="L132" i="22"/>
  <c r="J153" i="22"/>
  <c r="I153" i="22" s="1"/>
  <c r="P153" i="22" s="1"/>
  <c r="L160" i="22"/>
  <c r="L192" i="22"/>
  <c r="I121" i="22"/>
  <c r="K132" i="22"/>
  <c r="M159" i="22"/>
  <c r="M158" i="22" s="1"/>
  <c r="M131" i="22" s="1"/>
  <c r="J14" i="29"/>
  <c r="M173" i="29"/>
  <c r="M165" i="29" s="1"/>
  <c r="M192" i="29"/>
  <c r="K161" i="29"/>
  <c r="K160" i="29"/>
  <c r="L165" i="29"/>
  <c r="J173" i="29"/>
  <c r="J165" i="29" s="1"/>
  <c r="J192" i="29"/>
  <c r="L159" i="29"/>
  <c r="I121" i="29"/>
  <c r="I115" i="29" s="1"/>
  <c r="M159" i="29"/>
  <c r="L160" i="29"/>
  <c r="K173" i="29"/>
  <c r="K165" i="29" s="1"/>
  <c r="J65" i="29"/>
  <c r="J43" i="29" s="1"/>
  <c r="L75" i="29"/>
  <c r="K132" i="29"/>
  <c r="J149" i="29"/>
  <c r="M160" i="29"/>
  <c r="L161" i="29"/>
  <c r="N11" i="29"/>
  <c r="N10" i="29" s="1"/>
  <c r="K159" i="21"/>
  <c r="I182" i="21"/>
  <c r="I132" i="21"/>
  <c r="M173" i="21"/>
  <c r="M165" i="21" s="1"/>
  <c r="M192" i="21"/>
  <c r="K161" i="21"/>
  <c r="K160" i="21"/>
  <c r="J192" i="21"/>
  <c r="J173" i="21"/>
  <c r="J165" i="21" s="1"/>
  <c r="J75" i="21"/>
  <c r="I121" i="21"/>
  <c r="I115" i="21" s="1"/>
  <c r="M159" i="21"/>
  <c r="L160" i="21"/>
  <c r="K173" i="21"/>
  <c r="K165" i="21" s="1"/>
  <c r="J26" i="21"/>
  <c r="J46" i="21"/>
  <c r="K132" i="21"/>
  <c r="J149" i="21"/>
  <c r="J159" i="21" s="1"/>
  <c r="M160" i="21"/>
  <c r="L159" i="21"/>
  <c r="J65" i="21"/>
  <c r="N43" i="21"/>
  <c r="N11" i="21"/>
  <c r="N10" i="21" s="1"/>
  <c r="N165" i="21"/>
  <c r="H159" i="28"/>
  <c r="H158" i="28" s="1"/>
  <c r="M193" i="28"/>
  <c r="L193" i="28"/>
  <c r="K193" i="28"/>
  <c r="J193" i="28"/>
  <c r="M186" i="28"/>
  <c r="L186" i="28"/>
  <c r="K186" i="28"/>
  <c r="J186" i="28"/>
  <c r="M183" i="28"/>
  <c r="M182" i="28" s="1"/>
  <c r="L183" i="28"/>
  <c r="L182" i="28" s="1"/>
  <c r="K183" i="28"/>
  <c r="K182" i="28" s="1"/>
  <c r="J183" i="28"/>
  <c r="J182" i="28" s="1"/>
  <c r="M177" i="28"/>
  <c r="M192" i="28" s="1"/>
  <c r="L177" i="28"/>
  <c r="L173" i="28" s="1"/>
  <c r="K177" i="28"/>
  <c r="K192" i="28" s="1"/>
  <c r="J177" i="28"/>
  <c r="J192" i="28" s="1"/>
  <c r="M173" i="28"/>
  <c r="M166" i="28"/>
  <c r="L166" i="28"/>
  <c r="K166" i="28"/>
  <c r="J166" i="28"/>
  <c r="M165" i="28"/>
  <c r="M153" i="28"/>
  <c r="L153" i="28"/>
  <c r="K153" i="28"/>
  <c r="J153" i="28"/>
  <c r="M150" i="28"/>
  <c r="L150" i="28"/>
  <c r="L149" i="28" s="1"/>
  <c r="K150" i="28"/>
  <c r="K149" i="28" s="1"/>
  <c r="J150" i="28"/>
  <c r="J149" i="28" s="1"/>
  <c r="M149" i="28"/>
  <c r="M145" i="28"/>
  <c r="L145" i="28"/>
  <c r="K145" i="28"/>
  <c r="J145" i="28"/>
  <c r="M137" i="28"/>
  <c r="L137" i="28"/>
  <c r="K137" i="28"/>
  <c r="J137" i="28"/>
  <c r="M133" i="28"/>
  <c r="L133" i="28"/>
  <c r="L132" i="28" s="1"/>
  <c r="K133" i="28"/>
  <c r="J133" i="28"/>
  <c r="M115" i="28"/>
  <c r="L115" i="28"/>
  <c r="K115" i="28"/>
  <c r="J115" i="28"/>
  <c r="M110" i="28"/>
  <c r="L110" i="28"/>
  <c r="K110" i="28"/>
  <c r="J110" i="28"/>
  <c r="M101" i="28"/>
  <c r="L101" i="28"/>
  <c r="K101" i="28"/>
  <c r="J101" i="28"/>
  <c r="M96" i="28"/>
  <c r="L96" i="28"/>
  <c r="K96" i="28"/>
  <c r="J96" i="28"/>
  <c r="M91" i="28"/>
  <c r="L91" i="28"/>
  <c r="K91" i="28"/>
  <c r="J91" i="28"/>
  <c r="M86" i="28"/>
  <c r="L86" i="28"/>
  <c r="K86" i="28"/>
  <c r="J86" i="28"/>
  <c r="M79" i="28"/>
  <c r="L79" i="28"/>
  <c r="K79" i="28"/>
  <c r="J79" i="28"/>
  <c r="M75" i="28"/>
  <c r="L75" i="28"/>
  <c r="K75" i="28"/>
  <c r="M66" i="28"/>
  <c r="L66" i="28"/>
  <c r="K66" i="28"/>
  <c r="J66" i="28"/>
  <c r="J65" i="28" s="1"/>
  <c r="M65" i="28"/>
  <c r="L65" i="28"/>
  <c r="K65" i="28"/>
  <c r="M58" i="28"/>
  <c r="L58" i="28"/>
  <c r="K58" i="28"/>
  <c r="J58" i="28"/>
  <c r="M54" i="28"/>
  <c r="L54" i="28"/>
  <c r="K54" i="28"/>
  <c r="J54" i="28"/>
  <c r="M46" i="28"/>
  <c r="M44" i="28" s="1"/>
  <c r="L46" i="28"/>
  <c r="L44" i="28" s="1"/>
  <c r="K46" i="28"/>
  <c r="K44" i="28" s="1"/>
  <c r="K43" i="28" s="1"/>
  <c r="J46" i="28"/>
  <c r="J44" i="28" s="1"/>
  <c r="M34" i="28"/>
  <c r="L34" i="28"/>
  <c r="K34" i="28"/>
  <c r="J34" i="28"/>
  <c r="M28" i="28"/>
  <c r="L28" i="28"/>
  <c r="K28" i="28"/>
  <c r="J28" i="28"/>
  <c r="M26" i="28"/>
  <c r="L26" i="28"/>
  <c r="K26" i="28"/>
  <c r="J26" i="28"/>
  <c r="M21" i="28"/>
  <c r="L21" i="28"/>
  <c r="K21" i="28"/>
  <c r="J21" i="28"/>
  <c r="M14" i="28"/>
  <c r="M12" i="28" s="1"/>
  <c r="M11" i="28" s="1"/>
  <c r="M10" i="28" s="1"/>
  <c r="L14" i="28"/>
  <c r="L12" i="28" s="1"/>
  <c r="L11" i="28" s="1"/>
  <c r="L10" i="28" s="1"/>
  <c r="K14" i="28"/>
  <c r="J14" i="28"/>
  <c r="J12" i="28" s="1"/>
  <c r="J11" i="28" s="1"/>
  <c r="J10" i="28" s="1"/>
  <c r="K12" i="28"/>
  <c r="K11" i="28" s="1"/>
  <c r="K10" i="28" s="1"/>
  <c r="M193" i="25"/>
  <c r="L193" i="25"/>
  <c r="K193" i="25"/>
  <c r="J193" i="25"/>
  <c r="I196" i="26"/>
  <c r="I15" i="25"/>
  <c r="I16" i="25"/>
  <c r="H159" i="25"/>
  <c r="L158" i="21" l="1"/>
  <c r="L131" i="21" s="1"/>
  <c r="I192" i="21"/>
  <c r="I115" i="22"/>
  <c r="P115" i="22" s="1"/>
  <c r="P121" i="22"/>
  <c r="I12" i="22"/>
  <c r="P12" i="22" s="1"/>
  <c r="P14" i="22"/>
  <c r="I26" i="22"/>
  <c r="P26" i="22" s="1"/>
  <c r="P28" i="22"/>
  <c r="L43" i="21"/>
  <c r="I177" i="22"/>
  <c r="P178" i="22"/>
  <c r="I182" i="22"/>
  <c r="P182" i="22" s="1"/>
  <c r="P183" i="22"/>
  <c r="L155" i="5"/>
  <c r="H155" i="4" s="1"/>
  <c r="L155" i="33"/>
  <c r="P172" i="22"/>
  <c r="M161" i="28"/>
  <c r="I75" i="22"/>
  <c r="P75" i="22" s="1"/>
  <c r="N42" i="29"/>
  <c r="N41" i="29" s="1"/>
  <c r="N191" i="29" s="1"/>
  <c r="N194" i="29" s="1"/>
  <c r="K173" i="28"/>
  <c r="K159" i="22"/>
  <c r="M43" i="28"/>
  <c r="K165" i="28"/>
  <c r="I192" i="29"/>
  <c r="K158" i="29"/>
  <c r="K131" i="29" s="1"/>
  <c r="L43" i="22"/>
  <c r="M42" i="22"/>
  <c r="M41" i="22" s="1"/>
  <c r="M191" i="22" s="1"/>
  <c r="M194" i="22" s="1"/>
  <c r="K161" i="28"/>
  <c r="I193" i="28"/>
  <c r="K160" i="22"/>
  <c r="K43" i="22"/>
  <c r="I193" i="25"/>
  <c r="L43" i="28"/>
  <c r="J75" i="28"/>
  <c r="K132" i="28"/>
  <c r="L161" i="28"/>
  <c r="J173" i="28"/>
  <c r="J165" i="28" s="1"/>
  <c r="K158" i="21"/>
  <c r="K131" i="21" s="1"/>
  <c r="K42" i="21" s="1"/>
  <c r="K41" i="21" s="1"/>
  <c r="K191" i="21" s="1"/>
  <c r="K194" i="21" s="1"/>
  <c r="L43" i="29"/>
  <c r="I149" i="22"/>
  <c r="P149" i="22" s="1"/>
  <c r="I11" i="22"/>
  <c r="I149" i="29"/>
  <c r="M43" i="29"/>
  <c r="M132" i="28"/>
  <c r="L42" i="21"/>
  <c r="L41" i="21" s="1"/>
  <c r="L191" i="21" s="1"/>
  <c r="L194" i="21" s="1"/>
  <c r="I70" i="22"/>
  <c r="J161" i="28"/>
  <c r="J43" i="22"/>
  <c r="I46" i="22"/>
  <c r="I149" i="21"/>
  <c r="K43" i="29"/>
  <c r="K42" i="29" s="1"/>
  <c r="K41" i="29" s="1"/>
  <c r="K191" i="29" s="1"/>
  <c r="J149" i="22"/>
  <c r="I192" i="22"/>
  <c r="P192" i="22" s="1"/>
  <c r="L158" i="22"/>
  <c r="L131" i="22" s="1"/>
  <c r="L158" i="29"/>
  <c r="L131" i="29" s="1"/>
  <c r="I14" i="29"/>
  <c r="I12" i="29" s="1"/>
  <c r="I11" i="29" s="1"/>
  <c r="I10" i="29" s="1"/>
  <c r="J12" i="29"/>
  <c r="J11" i="29" s="1"/>
  <c r="J10" i="29" s="1"/>
  <c r="L42" i="29"/>
  <c r="L41" i="29" s="1"/>
  <c r="L191" i="29" s="1"/>
  <c r="J160" i="29"/>
  <c r="I160" i="29" s="1"/>
  <c r="J161" i="29"/>
  <c r="I161" i="29" s="1"/>
  <c r="J159" i="29"/>
  <c r="I43" i="29"/>
  <c r="M158" i="29"/>
  <c r="M131" i="29" s="1"/>
  <c r="I46" i="21"/>
  <c r="I44" i="21" s="1"/>
  <c r="J44" i="21"/>
  <c r="J43" i="21" s="1"/>
  <c r="M158" i="21"/>
  <c r="M131" i="21" s="1"/>
  <c r="M42" i="21" s="1"/>
  <c r="M41" i="21" s="1"/>
  <c r="M191" i="21" s="1"/>
  <c r="M194" i="21" s="1"/>
  <c r="I159" i="21"/>
  <c r="J160" i="21"/>
  <c r="I160" i="21" s="1"/>
  <c r="J161" i="21"/>
  <c r="I161" i="21" s="1"/>
  <c r="I26" i="21"/>
  <c r="I11" i="21" s="1"/>
  <c r="I10" i="21" s="1"/>
  <c r="J11" i="21"/>
  <c r="J10" i="21" s="1"/>
  <c r="N42" i="21"/>
  <c r="N41" i="21" s="1"/>
  <c r="N191" i="21" s="1"/>
  <c r="N194" i="21" s="1"/>
  <c r="L165" i="28"/>
  <c r="J43" i="28"/>
  <c r="L160" i="28"/>
  <c r="L192" i="28"/>
  <c r="I192" i="28" s="1"/>
  <c r="J159" i="28"/>
  <c r="J160" i="28"/>
  <c r="L159" i="28"/>
  <c r="M159" i="28"/>
  <c r="M160" i="28"/>
  <c r="J132" i="28"/>
  <c r="K159" i="28"/>
  <c r="K160" i="28"/>
  <c r="H158" i="25"/>
  <c r="M186" i="25"/>
  <c r="L186" i="25"/>
  <c r="K186" i="25"/>
  <c r="J186" i="25"/>
  <c r="M183" i="25"/>
  <c r="M182" i="25" s="1"/>
  <c r="L183" i="25"/>
  <c r="K183" i="25"/>
  <c r="K182" i="25" s="1"/>
  <c r="J183" i="25"/>
  <c r="J182" i="25" s="1"/>
  <c r="L182" i="25"/>
  <c r="M178" i="25"/>
  <c r="L178" i="25"/>
  <c r="K178" i="25"/>
  <c r="K177" i="25" s="1"/>
  <c r="K192" i="25" s="1"/>
  <c r="J178" i="25"/>
  <c r="J177" i="25" s="1"/>
  <c r="M177" i="25"/>
  <c r="L177" i="25"/>
  <c r="M166" i="25"/>
  <c r="L166" i="25"/>
  <c r="K166" i="25"/>
  <c r="J166" i="25"/>
  <c r="M153" i="25"/>
  <c r="L153" i="25"/>
  <c r="K153" i="25"/>
  <c r="J153" i="25"/>
  <c r="M150" i="25"/>
  <c r="L150" i="25"/>
  <c r="K150" i="25"/>
  <c r="K149" i="25" s="1"/>
  <c r="J150" i="25"/>
  <c r="J149" i="25" s="1"/>
  <c r="M149" i="25"/>
  <c r="L149" i="25"/>
  <c r="M145" i="25"/>
  <c r="L145" i="25"/>
  <c r="K145" i="25"/>
  <c r="J145" i="25"/>
  <c r="K140" i="25"/>
  <c r="K138" i="25" s="1"/>
  <c r="K137" i="25" s="1"/>
  <c r="M137" i="25"/>
  <c r="L137" i="25"/>
  <c r="J137" i="25"/>
  <c r="M133" i="25"/>
  <c r="L133" i="25"/>
  <c r="K133" i="25"/>
  <c r="J133" i="25"/>
  <c r="M121" i="25"/>
  <c r="L121" i="25"/>
  <c r="L115" i="25" s="1"/>
  <c r="K121" i="25"/>
  <c r="K115" i="25" s="1"/>
  <c r="J121" i="25"/>
  <c r="J115" i="25" s="1"/>
  <c r="M115" i="25"/>
  <c r="M110" i="25"/>
  <c r="L110" i="25"/>
  <c r="K110" i="25"/>
  <c r="J110" i="25"/>
  <c r="M101" i="25"/>
  <c r="L101" i="25"/>
  <c r="K101" i="25"/>
  <c r="J101" i="25"/>
  <c r="M96" i="25"/>
  <c r="L96" i="25"/>
  <c r="K96" i="25"/>
  <c r="J96" i="25"/>
  <c r="M91" i="25"/>
  <c r="L91" i="25"/>
  <c r="K91" i="25"/>
  <c r="J91" i="25"/>
  <c r="M86" i="25"/>
  <c r="L86" i="25"/>
  <c r="K86" i="25"/>
  <c r="J86" i="25"/>
  <c r="M79" i="25"/>
  <c r="L79" i="25"/>
  <c r="L75" i="25" s="1"/>
  <c r="K79" i="25"/>
  <c r="K75" i="25" s="1"/>
  <c r="J79" i="25"/>
  <c r="J75" i="25" s="1"/>
  <c r="M70" i="25"/>
  <c r="L70" i="25"/>
  <c r="K70" i="25"/>
  <c r="J70" i="25"/>
  <c r="M66" i="25"/>
  <c r="M65" i="25" s="1"/>
  <c r="L66" i="25"/>
  <c r="L65" i="25" s="1"/>
  <c r="K66" i="25"/>
  <c r="K65" i="25" s="1"/>
  <c r="J66" i="25"/>
  <c r="J65" i="25" s="1"/>
  <c r="M58" i="25"/>
  <c r="L58" i="25"/>
  <c r="K58" i="25"/>
  <c r="J58" i="25"/>
  <c r="M54" i="25"/>
  <c r="L54" i="25"/>
  <c r="K54" i="25"/>
  <c r="J54" i="25"/>
  <c r="M47" i="25"/>
  <c r="M46" i="25" s="1"/>
  <c r="M44" i="25" s="1"/>
  <c r="L47" i="25"/>
  <c r="L46" i="25" s="1"/>
  <c r="L44" i="25" s="1"/>
  <c r="K47" i="25"/>
  <c r="K46" i="25" s="1"/>
  <c r="K44" i="25" s="1"/>
  <c r="J47" i="25"/>
  <c r="J46" i="25" s="1"/>
  <c r="J44" i="25" s="1"/>
  <c r="M34" i="25"/>
  <c r="L34" i="25"/>
  <c r="K34" i="25"/>
  <c r="J34" i="25"/>
  <c r="M28" i="25"/>
  <c r="M26" i="25" s="1"/>
  <c r="L28" i="25"/>
  <c r="L26" i="25" s="1"/>
  <c r="K28" i="25"/>
  <c r="K26" i="25" s="1"/>
  <c r="J28" i="25"/>
  <c r="J26" i="25" s="1"/>
  <c r="M21" i="25"/>
  <c r="L21" i="25"/>
  <c r="K21" i="25"/>
  <c r="J21" i="25"/>
  <c r="M14" i="25"/>
  <c r="M12" i="25" s="1"/>
  <c r="M11" i="25" s="1"/>
  <c r="M10" i="25" s="1"/>
  <c r="L14" i="25"/>
  <c r="L12" i="25" s="1"/>
  <c r="K14" i="25"/>
  <c r="K12" i="25" s="1"/>
  <c r="K11" i="25" s="1"/>
  <c r="K10" i="25" s="1"/>
  <c r="J14" i="25"/>
  <c r="J12" i="25" s="1"/>
  <c r="H159" i="26"/>
  <c r="H158" i="26" s="1"/>
  <c r="J193" i="26"/>
  <c r="K193" i="26"/>
  <c r="L193" i="26"/>
  <c r="M193" i="26"/>
  <c r="M186" i="26"/>
  <c r="L186" i="26"/>
  <c r="K186" i="26"/>
  <c r="J186" i="26"/>
  <c r="M183" i="26"/>
  <c r="M182" i="26" s="1"/>
  <c r="L183" i="26"/>
  <c r="L182" i="26" s="1"/>
  <c r="K183" i="26"/>
  <c r="K182" i="26" s="1"/>
  <c r="J183" i="26"/>
  <c r="J182" i="26" s="1"/>
  <c r="M178" i="26"/>
  <c r="M177" i="26" s="1"/>
  <c r="M173" i="26" s="1"/>
  <c r="L178" i="26"/>
  <c r="L177" i="26" s="1"/>
  <c r="L173" i="26" s="1"/>
  <c r="K178" i="26"/>
  <c r="K177" i="26" s="1"/>
  <c r="K173" i="26" s="1"/>
  <c r="J178" i="26"/>
  <c r="J177" i="26" s="1"/>
  <c r="J173" i="26" s="1"/>
  <c r="M166" i="26"/>
  <c r="L166" i="26"/>
  <c r="K166" i="26"/>
  <c r="J166" i="26"/>
  <c r="M153" i="26"/>
  <c r="L153" i="26"/>
  <c r="K153" i="26"/>
  <c r="J153" i="26"/>
  <c r="M150" i="26"/>
  <c r="M149" i="26" s="1"/>
  <c r="L150" i="26"/>
  <c r="L149" i="26" s="1"/>
  <c r="K150" i="26"/>
  <c r="K149" i="26" s="1"/>
  <c r="J150" i="26"/>
  <c r="J149" i="26"/>
  <c r="M145" i="26"/>
  <c r="L145" i="26"/>
  <c r="K145" i="26"/>
  <c r="J145" i="26"/>
  <c r="M137" i="26"/>
  <c r="L137" i="26"/>
  <c r="K137" i="26"/>
  <c r="J137" i="26"/>
  <c r="M133" i="26"/>
  <c r="L133" i="26"/>
  <c r="K133" i="26"/>
  <c r="J133" i="26"/>
  <c r="J161" i="26" s="1"/>
  <c r="M122" i="26"/>
  <c r="M121" i="26" s="1"/>
  <c r="M115" i="26" s="1"/>
  <c r="L122" i="26"/>
  <c r="L121" i="26" s="1"/>
  <c r="L115" i="26" s="1"/>
  <c r="K122" i="26"/>
  <c r="J122" i="26"/>
  <c r="J121" i="26" s="1"/>
  <c r="J115" i="26" s="1"/>
  <c r="K121" i="26"/>
  <c r="K115" i="26" s="1"/>
  <c r="M110" i="26"/>
  <c r="L110" i="26"/>
  <c r="K110" i="26"/>
  <c r="J110" i="26"/>
  <c r="M101" i="26"/>
  <c r="L101" i="26"/>
  <c r="K101" i="26"/>
  <c r="J101" i="26"/>
  <c r="M96" i="26"/>
  <c r="L96" i="26"/>
  <c r="K96" i="26"/>
  <c r="J96" i="26"/>
  <c r="M91" i="26"/>
  <c r="L91" i="26"/>
  <c r="K91" i="26"/>
  <c r="J91" i="26"/>
  <c r="M86" i="26"/>
  <c r="L86" i="26"/>
  <c r="K86" i="26"/>
  <c r="J86" i="26"/>
  <c r="M79" i="26"/>
  <c r="L79" i="26"/>
  <c r="L75" i="26" s="1"/>
  <c r="K79" i="26"/>
  <c r="K75" i="26" s="1"/>
  <c r="J79" i="26"/>
  <c r="J75" i="26" s="1"/>
  <c r="M70" i="26"/>
  <c r="L70" i="26"/>
  <c r="K70" i="26"/>
  <c r="J70" i="26"/>
  <c r="M66" i="26"/>
  <c r="M65" i="26" s="1"/>
  <c r="L66" i="26"/>
  <c r="L65" i="26" s="1"/>
  <c r="K66" i="26"/>
  <c r="K65" i="26" s="1"/>
  <c r="J66" i="26"/>
  <c r="J65" i="26" s="1"/>
  <c r="M58" i="26"/>
  <c r="L58" i="26"/>
  <c r="K58" i="26"/>
  <c r="J58" i="26"/>
  <c r="M54" i="26"/>
  <c r="L54" i="26"/>
  <c r="K54" i="26"/>
  <c r="J54" i="26"/>
  <c r="M47" i="26"/>
  <c r="M46" i="26" s="1"/>
  <c r="M44" i="26" s="1"/>
  <c r="L47" i="26"/>
  <c r="L46" i="26" s="1"/>
  <c r="L44" i="26" s="1"/>
  <c r="K47" i="26"/>
  <c r="K46" i="26" s="1"/>
  <c r="K44" i="26" s="1"/>
  <c r="J47" i="26"/>
  <c r="J46" i="26" s="1"/>
  <c r="J44" i="26" s="1"/>
  <c r="M38" i="26"/>
  <c r="M34" i="26" s="1"/>
  <c r="L38" i="26"/>
  <c r="L34" i="26" s="1"/>
  <c r="K38" i="26"/>
  <c r="K34" i="26" s="1"/>
  <c r="J38" i="26"/>
  <c r="J34" i="26" s="1"/>
  <c r="M33" i="26"/>
  <c r="L33" i="26"/>
  <c r="K33" i="26"/>
  <c r="J33" i="26"/>
  <c r="M28" i="26"/>
  <c r="L28" i="26"/>
  <c r="K28" i="26"/>
  <c r="J28" i="26"/>
  <c r="M27" i="26"/>
  <c r="M26" i="26" s="1"/>
  <c r="L27" i="26"/>
  <c r="L26" i="26" s="1"/>
  <c r="K27" i="26"/>
  <c r="K26" i="26" s="1"/>
  <c r="J27" i="26"/>
  <c r="J26" i="26"/>
  <c r="J24" i="26"/>
  <c r="M21" i="26"/>
  <c r="L21" i="26"/>
  <c r="K21" i="26"/>
  <c r="J21" i="26"/>
  <c r="M19" i="26"/>
  <c r="L19" i="26"/>
  <c r="K19" i="26"/>
  <c r="J19" i="26"/>
  <c r="M18" i="26"/>
  <c r="L18" i="26"/>
  <c r="K18" i="26"/>
  <c r="J18" i="26"/>
  <c r="M17" i="26"/>
  <c r="L17" i="26"/>
  <c r="K17" i="26"/>
  <c r="K14" i="26" s="1"/>
  <c r="K12" i="26" s="1"/>
  <c r="J17" i="26"/>
  <c r="J14" i="26" s="1"/>
  <c r="J12" i="26" s="1"/>
  <c r="M14" i="26"/>
  <c r="M12" i="26" s="1"/>
  <c r="L14" i="26"/>
  <c r="L12" i="26" s="1"/>
  <c r="I44" i="22" l="1"/>
  <c r="P46" i="22"/>
  <c r="I65" i="22"/>
  <c r="P65" i="22" s="1"/>
  <c r="P70" i="22"/>
  <c r="I10" i="22"/>
  <c r="P10" i="22" s="1"/>
  <c r="P11" i="22"/>
  <c r="K158" i="22"/>
  <c r="K131" i="22" s="1"/>
  <c r="K42" i="22" s="1"/>
  <c r="K41" i="22" s="1"/>
  <c r="K191" i="22" s="1"/>
  <c r="K194" i="22" s="1"/>
  <c r="P177" i="22"/>
  <c r="I173" i="22"/>
  <c r="M75" i="25"/>
  <c r="L42" i="22"/>
  <c r="L41" i="22" s="1"/>
  <c r="L191" i="22" s="1"/>
  <c r="L194" i="22" s="1"/>
  <c r="J43" i="26"/>
  <c r="L158" i="28"/>
  <c r="L131" i="28" s="1"/>
  <c r="J132" i="25"/>
  <c r="J161" i="25"/>
  <c r="J160" i="25"/>
  <c r="J159" i="25"/>
  <c r="M173" i="25"/>
  <c r="M165" i="25" s="1"/>
  <c r="M192" i="25"/>
  <c r="K161" i="25"/>
  <c r="K160" i="25"/>
  <c r="K159" i="25"/>
  <c r="I159" i="28"/>
  <c r="I161" i="28"/>
  <c r="I65" i="26"/>
  <c r="M165" i="26"/>
  <c r="K43" i="25"/>
  <c r="L161" i="25"/>
  <c r="L160" i="25"/>
  <c r="L159" i="25"/>
  <c r="J173" i="25"/>
  <c r="J165" i="25" s="1"/>
  <c r="J192" i="25"/>
  <c r="J165" i="26"/>
  <c r="J192" i="26"/>
  <c r="I193" i="26"/>
  <c r="M161" i="25"/>
  <c r="M160" i="25"/>
  <c r="M159" i="25"/>
  <c r="L173" i="25"/>
  <c r="L165" i="25" s="1"/>
  <c r="L192" i="25"/>
  <c r="L42" i="28"/>
  <c r="L41" i="28" s="1"/>
  <c r="L191" i="28" s="1"/>
  <c r="L194" i="28" s="1"/>
  <c r="M42" i="29"/>
  <c r="M41" i="29" s="1"/>
  <c r="M191" i="29" s="1"/>
  <c r="J161" i="22"/>
  <c r="I161" i="22" s="1"/>
  <c r="P161" i="22" s="1"/>
  <c r="J159" i="22"/>
  <c r="J160" i="22"/>
  <c r="I160" i="22" s="1"/>
  <c r="P160" i="22" s="1"/>
  <c r="J11" i="26"/>
  <c r="J10" i="26" s="1"/>
  <c r="I160" i="28"/>
  <c r="J158" i="21"/>
  <c r="I158" i="21" s="1"/>
  <c r="I131" i="21" s="1"/>
  <c r="I159" i="29"/>
  <c r="J158" i="29"/>
  <c r="I43" i="21"/>
  <c r="J158" i="28"/>
  <c r="M158" i="28"/>
  <c r="M131" i="28" s="1"/>
  <c r="M42" i="28" s="1"/>
  <c r="M41" i="28" s="1"/>
  <c r="M191" i="28" s="1"/>
  <c r="M194" i="28" s="1"/>
  <c r="K158" i="28"/>
  <c r="K131" i="28" s="1"/>
  <c r="K42" i="28" s="1"/>
  <c r="K41" i="28" s="1"/>
  <c r="K191" i="28" s="1"/>
  <c r="K194" i="28" s="1"/>
  <c r="M11" i="26"/>
  <c r="M10" i="26" s="1"/>
  <c r="J43" i="25"/>
  <c r="M192" i="26"/>
  <c r="M132" i="25"/>
  <c r="K11" i="26"/>
  <c r="K10" i="26" s="1"/>
  <c r="K165" i="26"/>
  <c r="L192" i="26"/>
  <c r="L11" i="25"/>
  <c r="L10" i="25" s="1"/>
  <c r="L43" i="25"/>
  <c r="L11" i="26"/>
  <c r="L10" i="26" s="1"/>
  <c r="L43" i="26"/>
  <c r="M75" i="26"/>
  <c r="M43" i="26" s="1"/>
  <c r="J132" i="26"/>
  <c r="M160" i="26"/>
  <c r="L165" i="26"/>
  <c r="K192" i="26"/>
  <c r="K173" i="25"/>
  <c r="J11" i="25"/>
  <c r="J10" i="25" s="1"/>
  <c r="K132" i="25"/>
  <c r="M43" i="25"/>
  <c r="L132" i="25"/>
  <c r="K43" i="26"/>
  <c r="K161" i="26"/>
  <c r="L160" i="26"/>
  <c r="K160" i="26"/>
  <c r="J160" i="26"/>
  <c r="M132" i="26"/>
  <c r="M159" i="26"/>
  <c r="M161" i="26"/>
  <c r="L132" i="26"/>
  <c r="L159" i="26"/>
  <c r="L161" i="26"/>
  <c r="K132" i="26"/>
  <c r="K159" i="26"/>
  <c r="J159" i="26"/>
  <c r="P173" i="22" l="1"/>
  <c r="I165" i="22"/>
  <c r="P165" i="22" s="1"/>
  <c r="I43" i="22"/>
  <c r="P43" i="22" s="1"/>
  <c r="P44" i="22"/>
  <c r="I192" i="25"/>
  <c r="M158" i="25"/>
  <c r="I192" i="26"/>
  <c r="I159" i="25"/>
  <c r="K158" i="25"/>
  <c r="L158" i="25"/>
  <c r="I161" i="25"/>
  <c r="J158" i="25"/>
  <c r="I160" i="25"/>
  <c r="I159" i="22"/>
  <c r="P159" i="22" s="1"/>
  <c r="J158" i="22"/>
  <c r="I42" i="21"/>
  <c r="J131" i="21"/>
  <c r="J42" i="21" s="1"/>
  <c r="J41" i="21" s="1"/>
  <c r="I41" i="21" s="1"/>
  <c r="I191" i="21" s="1"/>
  <c r="I158" i="29"/>
  <c r="I131" i="29" s="1"/>
  <c r="I42" i="29" s="1"/>
  <c r="I41" i="29" s="1"/>
  <c r="I191" i="29" s="1"/>
  <c r="J131" i="29"/>
  <c r="J42" i="29" s="1"/>
  <c r="J41" i="29" s="1"/>
  <c r="J191" i="29" s="1"/>
  <c r="J191" i="21"/>
  <c r="J194" i="21" s="1"/>
  <c r="I194" i="21" s="1"/>
  <c r="J131" i="28"/>
  <c r="J42" i="28" s="1"/>
  <c r="J41" i="28" s="1"/>
  <c r="J191" i="28" s="1"/>
  <c r="J194" i="28" s="1"/>
  <c r="I194" i="28" s="1"/>
  <c r="I158" i="28"/>
  <c r="M158" i="26"/>
  <c r="M131" i="26" s="1"/>
  <c r="M42" i="26" s="1"/>
  <c r="M41" i="26" s="1"/>
  <c r="M191" i="26" s="1"/>
  <c r="M194" i="26" s="1"/>
  <c r="K165" i="25"/>
  <c r="L158" i="26"/>
  <c r="L131" i="26" s="1"/>
  <c r="L42" i="26" s="1"/>
  <c r="L41" i="26" s="1"/>
  <c r="L191" i="26" s="1"/>
  <c r="L194" i="26" s="1"/>
  <c r="K158" i="26"/>
  <c r="K131" i="26" s="1"/>
  <c r="K42" i="26" s="1"/>
  <c r="K41" i="26" s="1"/>
  <c r="K191" i="26" s="1"/>
  <c r="K194" i="26" s="1"/>
  <c r="J158" i="26"/>
  <c r="J131" i="26" s="1"/>
  <c r="J42" i="26" s="1"/>
  <c r="J41" i="26" s="1"/>
  <c r="J191" i="26" s="1"/>
  <c r="J194" i="26" s="1"/>
  <c r="I13" i="23"/>
  <c r="J13" i="23"/>
  <c r="K13" i="23"/>
  <c r="L13" i="23"/>
  <c r="I14" i="23"/>
  <c r="J14" i="23"/>
  <c r="K14" i="23"/>
  <c r="L14" i="23"/>
  <c r="H15" i="23"/>
  <c r="Q15" i="23" s="1"/>
  <c r="I15" i="23"/>
  <c r="J15" i="23"/>
  <c r="K15" i="23"/>
  <c r="L15" i="23"/>
  <c r="H16" i="23"/>
  <c r="Q16" i="23" s="1"/>
  <c r="I16" i="23"/>
  <c r="J16" i="23"/>
  <c r="K16" i="23"/>
  <c r="L16" i="23"/>
  <c r="H17" i="23"/>
  <c r="Q17" i="23" s="1"/>
  <c r="I17" i="23"/>
  <c r="J17" i="23"/>
  <c r="K17" i="23"/>
  <c r="L17" i="23"/>
  <c r="I18" i="23"/>
  <c r="J18" i="23"/>
  <c r="K18" i="23"/>
  <c r="L18" i="23"/>
  <c r="I19" i="23"/>
  <c r="J19" i="23"/>
  <c r="K19" i="23"/>
  <c r="L19" i="23"/>
  <c r="H20" i="23"/>
  <c r="I20" i="23"/>
  <c r="J20" i="23"/>
  <c r="K20" i="23"/>
  <c r="L20" i="23"/>
  <c r="I22" i="23"/>
  <c r="J22" i="23"/>
  <c r="K22" i="23"/>
  <c r="L22" i="23"/>
  <c r="I23" i="23"/>
  <c r="J23" i="23"/>
  <c r="K23" i="23"/>
  <c r="L23" i="23"/>
  <c r="I24" i="23"/>
  <c r="J24" i="23"/>
  <c r="K24" i="23"/>
  <c r="L24" i="23"/>
  <c r="H25" i="23"/>
  <c r="I25" i="23"/>
  <c r="J25" i="23"/>
  <c r="K25" i="23"/>
  <c r="L25" i="23"/>
  <c r="I27" i="23"/>
  <c r="J27" i="23"/>
  <c r="K27" i="23"/>
  <c r="L27" i="23"/>
  <c r="I29" i="23"/>
  <c r="J29" i="23"/>
  <c r="K29" i="23"/>
  <c r="L29" i="23"/>
  <c r="I30" i="23"/>
  <c r="J30" i="23"/>
  <c r="K30" i="23"/>
  <c r="L30" i="23"/>
  <c r="I31" i="23"/>
  <c r="J31" i="23"/>
  <c r="K31" i="23"/>
  <c r="L31" i="23"/>
  <c r="I32" i="23"/>
  <c r="J32" i="23"/>
  <c r="K32" i="23"/>
  <c r="L32" i="23"/>
  <c r="I33" i="23"/>
  <c r="J33" i="23"/>
  <c r="K33" i="23"/>
  <c r="L33" i="23"/>
  <c r="I35" i="23"/>
  <c r="J35" i="23"/>
  <c r="K35" i="23"/>
  <c r="L35" i="23"/>
  <c r="I36" i="23"/>
  <c r="J36" i="23"/>
  <c r="K36" i="23"/>
  <c r="L36" i="23"/>
  <c r="I37" i="23"/>
  <c r="J37" i="23"/>
  <c r="K37" i="23"/>
  <c r="L37" i="23"/>
  <c r="I38" i="23"/>
  <c r="J38" i="23"/>
  <c r="K38" i="23"/>
  <c r="L38" i="23"/>
  <c r="I39" i="23"/>
  <c r="J39" i="23"/>
  <c r="K39" i="23"/>
  <c r="L39" i="23"/>
  <c r="I40" i="23"/>
  <c r="J40" i="23"/>
  <c r="K40" i="23"/>
  <c r="L40" i="23"/>
  <c r="I45" i="23"/>
  <c r="J45" i="23"/>
  <c r="K45" i="23"/>
  <c r="L45" i="23"/>
  <c r="I46" i="23"/>
  <c r="J46" i="23"/>
  <c r="K46" i="23"/>
  <c r="L46" i="23"/>
  <c r="I48" i="23"/>
  <c r="J48" i="23"/>
  <c r="K48" i="23"/>
  <c r="L48" i="23"/>
  <c r="I49" i="23"/>
  <c r="J49" i="23"/>
  <c r="K49" i="23"/>
  <c r="L49" i="23"/>
  <c r="I50" i="23"/>
  <c r="J50" i="23"/>
  <c r="K50" i="23"/>
  <c r="L50" i="23"/>
  <c r="I51" i="23"/>
  <c r="J51" i="23"/>
  <c r="K51" i="23"/>
  <c r="L51" i="23"/>
  <c r="I52" i="23"/>
  <c r="J52" i="23"/>
  <c r="K52" i="23"/>
  <c r="L52" i="23"/>
  <c r="I53" i="23"/>
  <c r="J53" i="23"/>
  <c r="K53" i="23"/>
  <c r="L53" i="23"/>
  <c r="K54" i="23"/>
  <c r="I55" i="23"/>
  <c r="J55" i="23"/>
  <c r="K55" i="23"/>
  <c r="L55" i="23"/>
  <c r="I56" i="23"/>
  <c r="J56" i="23"/>
  <c r="K56" i="23"/>
  <c r="L56" i="23"/>
  <c r="I57" i="23"/>
  <c r="J57" i="23"/>
  <c r="K57" i="23"/>
  <c r="L57" i="23"/>
  <c r="I59" i="23"/>
  <c r="J59" i="23"/>
  <c r="K59" i="23"/>
  <c r="L59" i="23"/>
  <c r="I60" i="23"/>
  <c r="J60" i="23"/>
  <c r="K60" i="23"/>
  <c r="L60" i="23"/>
  <c r="I61" i="23"/>
  <c r="J61" i="23"/>
  <c r="K61" i="23"/>
  <c r="L61" i="23"/>
  <c r="I62" i="23"/>
  <c r="J62" i="23"/>
  <c r="K62" i="23"/>
  <c r="L62" i="23"/>
  <c r="I63" i="23"/>
  <c r="J63" i="23"/>
  <c r="K63" i="23"/>
  <c r="L63" i="23"/>
  <c r="H64" i="23"/>
  <c r="I64" i="23"/>
  <c r="J64" i="23"/>
  <c r="K64" i="23"/>
  <c r="L64" i="23"/>
  <c r="I67" i="23"/>
  <c r="J67" i="23"/>
  <c r="K67" i="23"/>
  <c r="L67" i="23"/>
  <c r="I68" i="23"/>
  <c r="J68" i="23"/>
  <c r="K68" i="23"/>
  <c r="L68" i="23"/>
  <c r="I69" i="23"/>
  <c r="J69" i="23"/>
  <c r="K69" i="23"/>
  <c r="L69" i="23"/>
  <c r="I71" i="23"/>
  <c r="J71" i="23"/>
  <c r="K71" i="23"/>
  <c r="L71" i="23"/>
  <c r="I72" i="23"/>
  <c r="J72" i="23"/>
  <c r="K72" i="23"/>
  <c r="L72" i="23"/>
  <c r="I73" i="23"/>
  <c r="J73" i="23"/>
  <c r="K73" i="23"/>
  <c r="L73" i="23"/>
  <c r="I74" i="23"/>
  <c r="J74" i="23"/>
  <c r="K74" i="23"/>
  <c r="L74" i="23"/>
  <c r="I76" i="23"/>
  <c r="J76" i="23"/>
  <c r="K76" i="23"/>
  <c r="L76" i="23"/>
  <c r="I77" i="23"/>
  <c r="J77" i="23"/>
  <c r="K77" i="23"/>
  <c r="L77" i="23"/>
  <c r="I78" i="23"/>
  <c r="J78" i="23"/>
  <c r="K78" i="23"/>
  <c r="L78" i="23"/>
  <c r="I80" i="23"/>
  <c r="J80" i="23"/>
  <c r="K80" i="23"/>
  <c r="L80" i="23"/>
  <c r="I81" i="23"/>
  <c r="J81" i="23"/>
  <c r="K81" i="23"/>
  <c r="L81" i="23"/>
  <c r="I82" i="23"/>
  <c r="J82" i="23"/>
  <c r="K82" i="23"/>
  <c r="L82" i="23"/>
  <c r="I83" i="23"/>
  <c r="J83" i="23"/>
  <c r="K83" i="23"/>
  <c r="L83" i="23"/>
  <c r="I84" i="23"/>
  <c r="J84" i="23"/>
  <c r="K84" i="23"/>
  <c r="L84" i="23"/>
  <c r="H85" i="23"/>
  <c r="I85" i="23"/>
  <c r="J85" i="23"/>
  <c r="K85" i="23"/>
  <c r="L85" i="23"/>
  <c r="I87" i="23"/>
  <c r="J87" i="23"/>
  <c r="K87" i="23"/>
  <c r="L87" i="23"/>
  <c r="I88" i="23"/>
  <c r="J88" i="23"/>
  <c r="K88" i="23"/>
  <c r="L88" i="23"/>
  <c r="I89" i="23"/>
  <c r="J89" i="23"/>
  <c r="K89" i="23"/>
  <c r="L89" i="23"/>
  <c r="I90" i="23"/>
  <c r="J90" i="23"/>
  <c r="K90" i="23"/>
  <c r="L90" i="23"/>
  <c r="H92" i="23"/>
  <c r="Q92" i="23" s="1"/>
  <c r="I92" i="23"/>
  <c r="J92" i="23"/>
  <c r="K92" i="23"/>
  <c r="L92" i="23"/>
  <c r="H93" i="23"/>
  <c r="Q93" i="23" s="1"/>
  <c r="I93" i="23"/>
  <c r="J93" i="23"/>
  <c r="K93" i="23"/>
  <c r="L93" i="23"/>
  <c r="H94" i="23"/>
  <c r="Q94" i="23" s="1"/>
  <c r="I94" i="23"/>
  <c r="J94" i="23"/>
  <c r="K94" i="23"/>
  <c r="L94" i="23"/>
  <c r="I95" i="23"/>
  <c r="J95" i="23"/>
  <c r="K95" i="23"/>
  <c r="L95" i="23"/>
  <c r="I97" i="23"/>
  <c r="J97" i="23"/>
  <c r="K97" i="23"/>
  <c r="L97" i="23"/>
  <c r="I98" i="23"/>
  <c r="J98" i="23"/>
  <c r="K98" i="23"/>
  <c r="L98" i="23"/>
  <c r="I99" i="23"/>
  <c r="J99" i="23"/>
  <c r="K99" i="23"/>
  <c r="L99" i="23"/>
  <c r="I100" i="23"/>
  <c r="J100" i="23"/>
  <c r="K100" i="23"/>
  <c r="L100" i="23"/>
  <c r="I102" i="23"/>
  <c r="J102" i="23"/>
  <c r="K102" i="23"/>
  <c r="L102" i="23"/>
  <c r="I103" i="23"/>
  <c r="J103" i="23"/>
  <c r="K103" i="23"/>
  <c r="L103" i="23"/>
  <c r="I104" i="23"/>
  <c r="J104" i="23"/>
  <c r="K104" i="23"/>
  <c r="L104" i="23"/>
  <c r="I105" i="23"/>
  <c r="J105" i="23"/>
  <c r="K105" i="23"/>
  <c r="L105" i="23"/>
  <c r="I106" i="23"/>
  <c r="J106" i="23"/>
  <c r="K106" i="23"/>
  <c r="L106" i="23"/>
  <c r="I107" i="23"/>
  <c r="J107" i="23"/>
  <c r="K107" i="23"/>
  <c r="L107" i="23"/>
  <c r="I108" i="23"/>
  <c r="J108" i="23"/>
  <c r="K108" i="23"/>
  <c r="L108" i="23"/>
  <c r="I109" i="23"/>
  <c r="J109" i="23"/>
  <c r="K109" i="23"/>
  <c r="L109" i="23"/>
  <c r="H111" i="23"/>
  <c r="Q111" i="23" s="1"/>
  <c r="I111" i="23"/>
  <c r="J111" i="23"/>
  <c r="K111" i="23"/>
  <c r="L111" i="23"/>
  <c r="H112" i="23"/>
  <c r="Q112" i="23" s="1"/>
  <c r="I112" i="23"/>
  <c r="J112" i="23"/>
  <c r="K112" i="23"/>
  <c r="L112" i="23"/>
  <c r="H113" i="23"/>
  <c r="Q113" i="23" s="1"/>
  <c r="I113" i="23"/>
  <c r="J113" i="23"/>
  <c r="K113" i="23"/>
  <c r="L113" i="23"/>
  <c r="H114" i="23"/>
  <c r="Q114" i="23" s="1"/>
  <c r="I114" i="23"/>
  <c r="J114" i="23"/>
  <c r="K114" i="23"/>
  <c r="L114" i="23"/>
  <c r="I116" i="23"/>
  <c r="J116" i="23"/>
  <c r="K116" i="23"/>
  <c r="L116" i="23"/>
  <c r="I117" i="23"/>
  <c r="J117" i="23"/>
  <c r="K117" i="23"/>
  <c r="L117" i="23"/>
  <c r="I118" i="23"/>
  <c r="J118" i="23"/>
  <c r="K118" i="23"/>
  <c r="L118" i="23"/>
  <c r="I119" i="23"/>
  <c r="J119" i="23"/>
  <c r="K119" i="23"/>
  <c r="L119" i="23"/>
  <c r="I120" i="23"/>
  <c r="J120" i="23"/>
  <c r="K120" i="23"/>
  <c r="L120" i="23"/>
  <c r="H122" i="23"/>
  <c r="Q122" i="23" s="1"/>
  <c r="I122" i="23"/>
  <c r="J122" i="23"/>
  <c r="K122" i="23"/>
  <c r="L122" i="23"/>
  <c r="H123" i="23"/>
  <c r="Q123" i="23" s="1"/>
  <c r="I123" i="23"/>
  <c r="J123" i="23"/>
  <c r="K123" i="23"/>
  <c r="L123" i="23"/>
  <c r="H124" i="23"/>
  <c r="Q124" i="23" s="1"/>
  <c r="I124" i="23"/>
  <c r="J124" i="23"/>
  <c r="K124" i="23"/>
  <c r="L124" i="23"/>
  <c r="H125" i="23"/>
  <c r="Q125" i="23" s="1"/>
  <c r="I125" i="23"/>
  <c r="J125" i="23"/>
  <c r="K125" i="23"/>
  <c r="L125" i="23"/>
  <c r="H126" i="23"/>
  <c r="Q126" i="23" s="1"/>
  <c r="I126" i="23"/>
  <c r="J126" i="23"/>
  <c r="K126" i="23"/>
  <c r="L126" i="23"/>
  <c r="H127" i="23"/>
  <c r="Q127" i="23" s="1"/>
  <c r="I127" i="23"/>
  <c r="J127" i="23"/>
  <c r="K127" i="23"/>
  <c r="L127" i="23"/>
  <c r="H128" i="23"/>
  <c r="Q128" i="23" s="1"/>
  <c r="I128" i="23"/>
  <c r="J128" i="23"/>
  <c r="K128" i="23"/>
  <c r="L128" i="23"/>
  <c r="H129" i="23"/>
  <c r="Q129" i="23" s="1"/>
  <c r="I129" i="23"/>
  <c r="J129" i="23"/>
  <c r="K129" i="23"/>
  <c r="L129" i="23"/>
  <c r="H130" i="23"/>
  <c r="Q130" i="23" s="1"/>
  <c r="I130" i="23"/>
  <c r="J130" i="23"/>
  <c r="K130" i="23"/>
  <c r="L130" i="23"/>
  <c r="I134" i="23"/>
  <c r="J134" i="23"/>
  <c r="K134" i="23"/>
  <c r="L134" i="23"/>
  <c r="I135" i="23"/>
  <c r="J135" i="23"/>
  <c r="K135" i="23"/>
  <c r="L135" i="23"/>
  <c r="I136" i="23"/>
  <c r="J136" i="23"/>
  <c r="K136" i="23"/>
  <c r="L136" i="23"/>
  <c r="I138" i="23"/>
  <c r="J138" i="23"/>
  <c r="K138" i="23"/>
  <c r="L138" i="23"/>
  <c r="I139" i="23"/>
  <c r="J139" i="23"/>
  <c r="K139" i="23"/>
  <c r="L139" i="23"/>
  <c r="I140" i="23"/>
  <c r="J140" i="23"/>
  <c r="K140" i="23"/>
  <c r="L140" i="23"/>
  <c r="I141" i="23"/>
  <c r="J141" i="23"/>
  <c r="K141" i="23"/>
  <c r="L141" i="23"/>
  <c r="I142" i="23"/>
  <c r="J142" i="23"/>
  <c r="K142" i="23"/>
  <c r="L142" i="23"/>
  <c r="I143" i="23"/>
  <c r="J143" i="23"/>
  <c r="K143" i="23"/>
  <c r="L143" i="23"/>
  <c r="I144" i="23"/>
  <c r="J144" i="23"/>
  <c r="K144" i="23"/>
  <c r="L144" i="23"/>
  <c r="I146" i="23"/>
  <c r="J146" i="23"/>
  <c r="K146" i="23"/>
  <c r="L146" i="23"/>
  <c r="I147" i="23"/>
  <c r="J147" i="23"/>
  <c r="K147" i="23"/>
  <c r="L147" i="23"/>
  <c r="I148" i="23"/>
  <c r="J148" i="23"/>
  <c r="K148" i="23"/>
  <c r="L148" i="23"/>
  <c r="I151" i="23"/>
  <c r="J151" i="23"/>
  <c r="K151" i="23"/>
  <c r="L151" i="23"/>
  <c r="I152" i="23"/>
  <c r="J152" i="23"/>
  <c r="K152" i="23"/>
  <c r="L152" i="23"/>
  <c r="I154" i="23"/>
  <c r="J154" i="23"/>
  <c r="K154" i="23"/>
  <c r="L154" i="23"/>
  <c r="I155" i="23"/>
  <c r="J155" i="23"/>
  <c r="K155" i="23"/>
  <c r="L155" i="23"/>
  <c r="I156" i="23"/>
  <c r="J156" i="23"/>
  <c r="K156" i="23"/>
  <c r="L156" i="23"/>
  <c r="I157" i="23"/>
  <c r="J157" i="23"/>
  <c r="K157" i="23"/>
  <c r="L157" i="23"/>
  <c r="I162" i="23"/>
  <c r="J162" i="23"/>
  <c r="K162" i="23"/>
  <c r="L162" i="23"/>
  <c r="I163" i="23"/>
  <c r="J163" i="23"/>
  <c r="K163" i="23"/>
  <c r="L163" i="23"/>
  <c r="I164" i="23"/>
  <c r="J164" i="23"/>
  <c r="K164" i="23"/>
  <c r="L164" i="23"/>
  <c r="I167" i="23"/>
  <c r="J167" i="23"/>
  <c r="K167" i="23"/>
  <c r="L167" i="23"/>
  <c r="I168" i="23"/>
  <c r="J168" i="23"/>
  <c r="K168" i="23"/>
  <c r="L168" i="23"/>
  <c r="I169" i="23"/>
  <c r="J169" i="23"/>
  <c r="K169" i="23"/>
  <c r="L169" i="23"/>
  <c r="I170" i="23"/>
  <c r="J170" i="23"/>
  <c r="K170" i="23"/>
  <c r="L170" i="23"/>
  <c r="I171" i="23"/>
  <c r="J171" i="23"/>
  <c r="K171" i="23"/>
  <c r="L171" i="23"/>
  <c r="I172" i="23"/>
  <c r="J172" i="23"/>
  <c r="K172" i="23"/>
  <c r="L172" i="23"/>
  <c r="I174" i="23"/>
  <c r="J174" i="23"/>
  <c r="K174" i="23"/>
  <c r="L174" i="23"/>
  <c r="I175" i="23"/>
  <c r="J175" i="23"/>
  <c r="K175" i="23"/>
  <c r="L175" i="23"/>
  <c r="H176" i="23"/>
  <c r="I176" i="23"/>
  <c r="J176" i="23"/>
  <c r="K176" i="23"/>
  <c r="L176" i="23"/>
  <c r="I179" i="23"/>
  <c r="J179" i="23"/>
  <c r="K179" i="23"/>
  <c r="L179" i="23"/>
  <c r="I180" i="23"/>
  <c r="J180" i="23"/>
  <c r="K180" i="23"/>
  <c r="L180" i="23"/>
  <c r="I181" i="23"/>
  <c r="J181" i="23"/>
  <c r="K181" i="23"/>
  <c r="L181" i="23"/>
  <c r="I184" i="23"/>
  <c r="J184" i="23"/>
  <c r="K184" i="23"/>
  <c r="L184" i="23"/>
  <c r="I185" i="23"/>
  <c r="J185" i="23"/>
  <c r="K185" i="23"/>
  <c r="L185" i="23"/>
  <c r="I187" i="23"/>
  <c r="J187" i="23"/>
  <c r="K187" i="23"/>
  <c r="L187" i="23"/>
  <c r="I188" i="23"/>
  <c r="J188" i="23"/>
  <c r="K188" i="23"/>
  <c r="L188" i="23"/>
  <c r="I189" i="23"/>
  <c r="J189" i="23"/>
  <c r="K189" i="23"/>
  <c r="L189" i="23"/>
  <c r="I190" i="23"/>
  <c r="J190" i="23"/>
  <c r="K190" i="23"/>
  <c r="L190" i="23"/>
  <c r="H196" i="23"/>
  <c r="I196" i="23"/>
  <c r="J196" i="23"/>
  <c r="K196" i="23"/>
  <c r="L196" i="23"/>
  <c r="G161" i="13"/>
  <c r="O161" i="13" s="1"/>
  <c r="H161" i="13"/>
  <c r="I161" i="13"/>
  <c r="J161" i="13"/>
  <c r="K161" i="13"/>
  <c r="H198" i="23"/>
  <c r="I198" i="23"/>
  <c r="J198" i="23"/>
  <c r="K198" i="23"/>
  <c r="L198" i="23"/>
  <c r="H199" i="23"/>
  <c r="I199" i="23"/>
  <c r="J199" i="23"/>
  <c r="K199" i="23"/>
  <c r="L199" i="23"/>
  <c r="N186" i="22"/>
  <c r="N183" i="22"/>
  <c r="N182" i="22" s="1"/>
  <c r="N178" i="22"/>
  <c r="N177" i="22" s="1"/>
  <c r="N166" i="22"/>
  <c r="N158" i="22"/>
  <c r="N153" i="22"/>
  <c r="N150" i="22"/>
  <c r="I150" i="23"/>
  <c r="N145" i="22"/>
  <c r="N137" i="22"/>
  <c r="N133" i="22"/>
  <c r="N121" i="22"/>
  <c r="N115" i="22" s="1"/>
  <c r="N110" i="22"/>
  <c r="N101" i="22"/>
  <c r="N96" i="22"/>
  <c r="N91" i="22"/>
  <c r="N86" i="22"/>
  <c r="N79" i="22"/>
  <c r="N70" i="22"/>
  <c r="N66" i="22"/>
  <c r="N58" i="22"/>
  <c r="N44" i="22" s="1"/>
  <c r="N54" i="22"/>
  <c r="N47" i="22"/>
  <c r="N34" i="22"/>
  <c r="N28" i="22"/>
  <c r="N26" i="22" s="1"/>
  <c r="N21" i="22"/>
  <c r="N12" i="22"/>
  <c r="G194" i="29"/>
  <c r="G178" i="29"/>
  <c r="G179" i="29" s="1"/>
  <c r="G180" i="29" s="1"/>
  <c r="G181" i="29" s="1"/>
  <c r="G182" i="29" s="1"/>
  <c r="G183" i="29" s="1"/>
  <c r="G184" i="29" s="1"/>
  <c r="G185" i="29" s="1"/>
  <c r="G186" i="29" s="1"/>
  <c r="G187" i="29" s="1"/>
  <c r="G188" i="29" s="1"/>
  <c r="G189" i="29" s="1"/>
  <c r="G190" i="29" s="1"/>
  <c r="G191" i="29" s="1"/>
  <c r="J110" i="23"/>
  <c r="F110" i="29"/>
  <c r="G12" i="29"/>
  <c r="G13" i="29" s="1"/>
  <c r="G14" i="29" s="1"/>
  <c r="G18" i="29" s="1"/>
  <c r="G19" i="29" s="1"/>
  <c r="G20" i="29" s="1"/>
  <c r="G21" i="29" s="1"/>
  <c r="G22" i="29" s="1"/>
  <c r="G23" i="29" s="1"/>
  <c r="G24" i="29" s="1"/>
  <c r="G25" i="29" s="1"/>
  <c r="G26" i="29" s="1"/>
  <c r="G27" i="29" s="1"/>
  <c r="G28" i="29" s="1"/>
  <c r="G29" i="29" s="1"/>
  <c r="G30" i="29" s="1"/>
  <c r="G31" i="29" s="1"/>
  <c r="G32" i="29" s="1"/>
  <c r="G33" i="29" s="1"/>
  <c r="G34" i="29" s="1"/>
  <c r="G35" i="29" s="1"/>
  <c r="G36" i="29" s="1"/>
  <c r="G37" i="29" s="1"/>
  <c r="G38" i="29" s="1"/>
  <c r="G39" i="29" s="1"/>
  <c r="G40" i="29" s="1"/>
  <c r="G41" i="29" s="1"/>
  <c r="G42" i="29" s="1"/>
  <c r="G43" i="29" s="1"/>
  <c r="G44" i="29" s="1"/>
  <c r="G45" i="29" s="1"/>
  <c r="G46" i="29" s="1"/>
  <c r="G47" i="29" s="1"/>
  <c r="G54" i="29" s="1"/>
  <c r="G57" i="29" s="1"/>
  <c r="G58" i="29" s="1"/>
  <c r="G64" i="29" s="1"/>
  <c r="G65" i="29" s="1"/>
  <c r="G66" i="29" s="1"/>
  <c r="G70" i="29" s="1"/>
  <c r="G71" i="29" s="1"/>
  <c r="G73" i="29" s="1"/>
  <c r="G74" i="29" s="1"/>
  <c r="G75" i="29" s="1"/>
  <c r="G76" i="29" s="1"/>
  <c r="G77" i="29" s="1"/>
  <c r="G78" i="29" s="1"/>
  <c r="G79" i="29" s="1"/>
  <c r="G80" i="29" s="1"/>
  <c r="G81" i="29" s="1"/>
  <c r="G82" i="29" s="1"/>
  <c r="G83" i="29" s="1"/>
  <c r="G84" i="29" s="1"/>
  <c r="G85" i="29" s="1"/>
  <c r="G86" i="29" s="1"/>
  <c r="G87" i="29" s="1"/>
  <c r="G88" i="29" s="1"/>
  <c r="G89" i="29" s="1"/>
  <c r="G90" i="29" s="1"/>
  <c r="G91" i="29" s="1"/>
  <c r="G95" i="29" s="1"/>
  <c r="G96" i="29" s="1"/>
  <c r="G97" i="29" s="1"/>
  <c r="G98" i="29" s="1"/>
  <c r="G99" i="29" s="1"/>
  <c r="G100" i="29" s="1"/>
  <c r="G101" i="29" s="1"/>
  <c r="G102" i="29" s="1"/>
  <c r="G103" i="29" s="1"/>
  <c r="G104" i="29" s="1"/>
  <c r="G105" i="29" s="1"/>
  <c r="G106" i="29" s="1"/>
  <c r="G107" i="29" s="1"/>
  <c r="G108" i="29" s="1"/>
  <c r="G109" i="29" s="1"/>
  <c r="G110" i="29" s="1"/>
  <c r="G115" i="29" s="1"/>
  <c r="G116" i="29" s="1"/>
  <c r="G117" i="29" s="1"/>
  <c r="G118" i="29" s="1"/>
  <c r="G119" i="29" s="1"/>
  <c r="G120" i="29" s="1"/>
  <c r="G121" i="29" s="1"/>
  <c r="G131" i="29" s="1"/>
  <c r="G132" i="29" s="1"/>
  <c r="G133" i="29" s="1"/>
  <c r="G134" i="29" s="1"/>
  <c r="G135" i="29" s="1"/>
  <c r="G136" i="29" s="1"/>
  <c r="G137" i="29" s="1"/>
  <c r="G138" i="29" s="1"/>
  <c r="G139" i="29" s="1"/>
  <c r="G140" i="29" s="1"/>
  <c r="G141" i="29" s="1"/>
  <c r="G142" i="29" s="1"/>
  <c r="G143" i="29" s="1"/>
  <c r="G144" i="29" s="1"/>
  <c r="G145" i="29" s="1"/>
  <c r="G146" i="29" s="1"/>
  <c r="G147" i="29" s="1"/>
  <c r="G148" i="29" s="1"/>
  <c r="G149" i="29" s="1"/>
  <c r="G150" i="29" s="1"/>
  <c r="G151" i="29" s="1"/>
  <c r="G152" i="29" s="1"/>
  <c r="G153" i="29" s="1"/>
  <c r="G154" i="29" s="1"/>
  <c r="G155" i="29" s="1"/>
  <c r="G156" i="29" s="1"/>
  <c r="G157" i="29" s="1"/>
  <c r="G158" i="29" s="1"/>
  <c r="G159" i="29" s="1"/>
  <c r="G160" i="29" s="1"/>
  <c r="G161" i="29" s="1"/>
  <c r="G162" i="29" s="1"/>
  <c r="G163" i="29" s="1"/>
  <c r="G164" i="29" s="1"/>
  <c r="G165" i="29" s="1"/>
  <c r="G166" i="29" s="1"/>
  <c r="G167" i="29" s="1"/>
  <c r="G168" i="29" s="1"/>
  <c r="G169" i="29" s="1"/>
  <c r="G170" i="29" s="1"/>
  <c r="G171" i="29" s="1"/>
  <c r="G172" i="29" s="1"/>
  <c r="G173" i="29" s="1"/>
  <c r="G174" i="29" s="1"/>
  <c r="G175" i="29" s="1"/>
  <c r="G11" i="29"/>
  <c r="G194" i="28"/>
  <c r="I190" i="28"/>
  <c r="I189" i="28"/>
  <c r="I188" i="28"/>
  <c r="I187" i="28"/>
  <c r="N186" i="28"/>
  <c r="I185" i="28"/>
  <c r="I184" i="28"/>
  <c r="N183" i="28"/>
  <c r="N182" i="28" s="1"/>
  <c r="I181" i="28"/>
  <c r="I180" i="28"/>
  <c r="I179" i="28"/>
  <c r="N178" i="28"/>
  <c r="G178" i="28"/>
  <c r="G179" i="28" s="1"/>
  <c r="G180" i="28" s="1"/>
  <c r="G181" i="28" s="1"/>
  <c r="G182" i="28" s="1"/>
  <c r="G183" i="28" s="1"/>
  <c r="G184" i="28" s="1"/>
  <c r="G185" i="28" s="1"/>
  <c r="G186" i="28" s="1"/>
  <c r="G187" i="28" s="1"/>
  <c r="G188" i="28" s="1"/>
  <c r="G189" i="28" s="1"/>
  <c r="G190" i="28" s="1"/>
  <c r="G191" i="28" s="1"/>
  <c r="N177" i="28"/>
  <c r="I175" i="28"/>
  <c r="I174" i="28"/>
  <c r="I172" i="28"/>
  <c r="I171" i="28"/>
  <c r="I170" i="28"/>
  <c r="I169" i="28"/>
  <c r="I168" i="28"/>
  <c r="I167" i="28"/>
  <c r="I166" i="28" s="1"/>
  <c r="N166" i="28"/>
  <c r="J166" i="23"/>
  <c r="I164" i="28"/>
  <c r="I163" i="28"/>
  <c r="I162" i="28"/>
  <c r="N158" i="28"/>
  <c r="I157" i="28"/>
  <c r="I156" i="28"/>
  <c r="I155" i="28"/>
  <c r="I154" i="28"/>
  <c r="N153" i="28"/>
  <c r="I152" i="28"/>
  <c r="I151" i="28"/>
  <c r="N150" i="28"/>
  <c r="I148" i="28"/>
  <c r="I147" i="28"/>
  <c r="I146" i="28"/>
  <c r="N145" i="28"/>
  <c r="I144" i="28"/>
  <c r="I143" i="28"/>
  <c r="I142" i="28"/>
  <c r="I141" i="28"/>
  <c r="I140" i="28"/>
  <c r="I139" i="28"/>
  <c r="I138" i="28"/>
  <c r="N137" i="28"/>
  <c r="I136" i="28"/>
  <c r="I135" i="28"/>
  <c r="I134" i="28"/>
  <c r="N133" i="28"/>
  <c r="N121" i="28"/>
  <c r="N115" i="28" s="1"/>
  <c r="I120" i="28"/>
  <c r="I119" i="28"/>
  <c r="I118" i="28"/>
  <c r="I117" i="28"/>
  <c r="I116" i="28"/>
  <c r="N110" i="28"/>
  <c r="F110" i="28"/>
  <c r="I109" i="28"/>
  <c r="I108" i="28"/>
  <c r="I107" i="28"/>
  <c r="I106" i="28"/>
  <c r="I105" i="28"/>
  <c r="I104" i="28"/>
  <c r="I103" i="28"/>
  <c r="I102" i="28"/>
  <c r="N101" i="28"/>
  <c r="I100" i="28"/>
  <c r="I99" i="28"/>
  <c r="I98" i="28"/>
  <c r="I97" i="28"/>
  <c r="N96" i="28"/>
  <c r="I95" i="28"/>
  <c r="N91" i="28"/>
  <c r="I90" i="28"/>
  <c r="I89" i="28"/>
  <c r="I88" i="28"/>
  <c r="I87" i="28"/>
  <c r="N86" i="28"/>
  <c r="I86" i="28"/>
  <c r="I84" i="28"/>
  <c r="I83" i="28"/>
  <c r="I82" i="28"/>
  <c r="I81" i="28"/>
  <c r="I80" i="28"/>
  <c r="N79" i="28"/>
  <c r="I78" i="28"/>
  <c r="I77" i="28"/>
  <c r="I76" i="28"/>
  <c r="I74" i="28"/>
  <c r="I73" i="28"/>
  <c r="I72" i="28"/>
  <c r="I71" i="28"/>
  <c r="N70" i="28"/>
  <c r="I69" i="28"/>
  <c r="I68" i="28"/>
  <c r="I67" i="28"/>
  <c r="N66" i="28"/>
  <c r="I66" i="28"/>
  <c r="I63" i="28"/>
  <c r="I62" i="28"/>
  <c r="I61" i="28"/>
  <c r="I60" i="28"/>
  <c r="I59" i="28"/>
  <c r="N58" i="28"/>
  <c r="I58" i="28"/>
  <c r="I57" i="28"/>
  <c r="I56" i="28"/>
  <c r="I55" i="28"/>
  <c r="N54" i="28"/>
  <c r="I53" i="28"/>
  <c r="I52" i="28"/>
  <c r="I51" i="28"/>
  <c r="I50" i="28"/>
  <c r="I49" i="28"/>
  <c r="I48" i="28"/>
  <c r="N47" i="28"/>
  <c r="I46" i="28"/>
  <c r="I45" i="28"/>
  <c r="N44" i="28"/>
  <c r="I40" i="28"/>
  <c r="I39" i="28"/>
  <c r="I38" i="28"/>
  <c r="I37" i="28"/>
  <c r="I36" i="28"/>
  <c r="I35" i="28"/>
  <c r="N34" i="28"/>
  <c r="I33" i="28"/>
  <c r="I32" i="28"/>
  <c r="I31" i="28"/>
  <c r="I30" i="28"/>
  <c r="I29" i="28"/>
  <c r="N28" i="28"/>
  <c r="I27" i="28"/>
  <c r="N26" i="28"/>
  <c r="I24" i="28"/>
  <c r="I23" i="28"/>
  <c r="I22" i="28"/>
  <c r="N21" i="28"/>
  <c r="I19" i="28"/>
  <c r="I18" i="28"/>
  <c r="I14" i="28"/>
  <c r="I13" i="28"/>
  <c r="N12" i="28"/>
  <c r="N11" i="28" s="1"/>
  <c r="N10" i="28" s="1"/>
  <c r="G11" i="28"/>
  <c r="G12" i="28" s="1"/>
  <c r="G13" i="28" s="1"/>
  <c r="G14" i="28" s="1"/>
  <c r="G18" i="28" s="1"/>
  <c r="G19" i="28" s="1"/>
  <c r="G20" i="28" s="1"/>
  <c r="G21" i="28" s="1"/>
  <c r="G22" i="28" s="1"/>
  <c r="G23" i="28" s="1"/>
  <c r="G24" i="28" s="1"/>
  <c r="G25" i="28" s="1"/>
  <c r="G26" i="28" s="1"/>
  <c r="G27" i="28" s="1"/>
  <c r="G28" i="28" s="1"/>
  <c r="G29" i="28" s="1"/>
  <c r="G30" i="28" s="1"/>
  <c r="G31" i="28" s="1"/>
  <c r="G32" i="28" s="1"/>
  <c r="G33" i="28" s="1"/>
  <c r="G34" i="28" s="1"/>
  <c r="G35" i="28" s="1"/>
  <c r="G36" i="28" s="1"/>
  <c r="G37" i="28" s="1"/>
  <c r="G38" i="28" s="1"/>
  <c r="G39" i="28" s="1"/>
  <c r="G40" i="28" s="1"/>
  <c r="G41" i="28" s="1"/>
  <c r="G42" i="28" s="1"/>
  <c r="G43" i="28" s="1"/>
  <c r="G44" i="28" s="1"/>
  <c r="G45" i="28" s="1"/>
  <c r="G46" i="28" s="1"/>
  <c r="G47" i="28" s="1"/>
  <c r="G54" i="28" s="1"/>
  <c r="G57" i="28" s="1"/>
  <c r="G58" i="28" s="1"/>
  <c r="G64" i="28" s="1"/>
  <c r="G65" i="28" s="1"/>
  <c r="G66" i="28" s="1"/>
  <c r="G70" i="28" s="1"/>
  <c r="G71" i="28" s="1"/>
  <c r="G73" i="28" s="1"/>
  <c r="G74" i="28" s="1"/>
  <c r="G75" i="28" s="1"/>
  <c r="G76" i="28" s="1"/>
  <c r="G77" i="28" s="1"/>
  <c r="G78" i="28" s="1"/>
  <c r="G79" i="28" s="1"/>
  <c r="G80" i="28" s="1"/>
  <c r="G81" i="28" s="1"/>
  <c r="G82" i="28" s="1"/>
  <c r="G83" i="28" s="1"/>
  <c r="G84" i="28" s="1"/>
  <c r="G85" i="28" s="1"/>
  <c r="G86" i="28" s="1"/>
  <c r="G87" i="28" s="1"/>
  <c r="G88" i="28" s="1"/>
  <c r="G89" i="28" s="1"/>
  <c r="G90" i="28" s="1"/>
  <c r="G91" i="28" s="1"/>
  <c r="G95" i="28" s="1"/>
  <c r="G96" i="28" s="1"/>
  <c r="G97" i="28" s="1"/>
  <c r="G98" i="28" s="1"/>
  <c r="G99" i="28" s="1"/>
  <c r="G100" i="28" s="1"/>
  <c r="G101" i="28" s="1"/>
  <c r="G102" i="28" s="1"/>
  <c r="G103" i="28" s="1"/>
  <c r="G104" i="28" s="1"/>
  <c r="G105" i="28" s="1"/>
  <c r="G106" i="28" s="1"/>
  <c r="G107" i="28" s="1"/>
  <c r="G108" i="28" s="1"/>
  <c r="G109" i="28" s="1"/>
  <c r="G110" i="28" s="1"/>
  <c r="G115" i="28" s="1"/>
  <c r="G116" i="28" s="1"/>
  <c r="G117" i="28" s="1"/>
  <c r="G118" i="28" s="1"/>
  <c r="G119" i="28" s="1"/>
  <c r="G120" i="28" s="1"/>
  <c r="G121" i="28" s="1"/>
  <c r="G131" i="28" s="1"/>
  <c r="G132" i="28" s="1"/>
  <c r="G133" i="28" s="1"/>
  <c r="G134" i="28" s="1"/>
  <c r="G135" i="28" s="1"/>
  <c r="G136" i="28" s="1"/>
  <c r="G137" i="28" s="1"/>
  <c r="G138" i="28" s="1"/>
  <c r="G139" i="28" s="1"/>
  <c r="G140" i="28" s="1"/>
  <c r="G141" i="28" s="1"/>
  <c r="G142" i="28" s="1"/>
  <c r="G143" i="28" s="1"/>
  <c r="G144" i="28" s="1"/>
  <c r="G145" i="28" s="1"/>
  <c r="G146" i="28" s="1"/>
  <c r="G147" i="28" s="1"/>
  <c r="G148" i="28" s="1"/>
  <c r="G149" i="28" s="1"/>
  <c r="G150" i="28" s="1"/>
  <c r="G151" i="28" s="1"/>
  <c r="G152" i="28" s="1"/>
  <c r="G153" i="28" s="1"/>
  <c r="G154" i="28" s="1"/>
  <c r="G155" i="28" s="1"/>
  <c r="G156" i="28" s="1"/>
  <c r="G157" i="28" s="1"/>
  <c r="G158" i="28" s="1"/>
  <c r="G159" i="28" s="1"/>
  <c r="G160" i="28" s="1"/>
  <c r="G161" i="28" s="1"/>
  <c r="G162" i="28" s="1"/>
  <c r="G163" i="28" s="1"/>
  <c r="G164" i="28" s="1"/>
  <c r="G165" i="28" s="1"/>
  <c r="G166" i="28" s="1"/>
  <c r="G167" i="28" s="1"/>
  <c r="G168" i="28" s="1"/>
  <c r="G169" i="28" s="1"/>
  <c r="G170" i="28" s="1"/>
  <c r="G171" i="28" s="1"/>
  <c r="G172" i="28" s="1"/>
  <c r="G173" i="28" s="1"/>
  <c r="G174" i="28" s="1"/>
  <c r="G175" i="28" s="1"/>
  <c r="G194" i="27"/>
  <c r="N186" i="27"/>
  <c r="N183" i="27"/>
  <c r="N182" i="27" s="1"/>
  <c r="N178" i="27"/>
  <c r="N177" i="27" s="1"/>
  <c r="G178" i="27"/>
  <c r="G179" i="27" s="1"/>
  <c r="G180" i="27" s="1"/>
  <c r="G181" i="27" s="1"/>
  <c r="G182" i="27" s="1"/>
  <c r="G183" i="27" s="1"/>
  <c r="G184" i="27" s="1"/>
  <c r="G185" i="27" s="1"/>
  <c r="G186" i="27" s="1"/>
  <c r="G187" i="27" s="1"/>
  <c r="G188" i="27" s="1"/>
  <c r="G189" i="27" s="1"/>
  <c r="G190" i="27" s="1"/>
  <c r="G191" i="27" s="1"/>
  <c r="N166" i="27"/>
  <c r="L166" i="23"/>
  <c r="I166" i="23"/>
  <c r="N158" i="27"/>
  <c r="N153" i="27"/>
  <c r="L153" i="23"/>
  <c r="N150" i="27"/>
  <c r="N149" i="27" s="1"/>
  <c r="N145" i="27"/>
  <c r="N137" i="27"/>
  <c r="N133" i="27"/>
  <c r="N121" i="27"/>
  <c r="N115" i="27" s="1"/>
  <c r="N110" i="27"/>
  <c r="F110" i="27"/>
  <c r="N101" i="27"/>
  <c r="N96" i="27"/>
  <c r="N91" i="27"/>
  <c r="N86" i="27"/>
  <c r="N79" i="27"/>
  <c r="L79" i="23"/>
  <c r="J79" i="23"/>
  <c r="N70" i="27"/>
  <c r="N66" i="27"/>
  <c r="N58" i="27"/>
  <c r="N44" i="27" s="1"/>
  <c r="N54" i="27"/>
  <c r="J54" i="23"/>
  <c r="N47" i="27"/>
  <c r="N34" i="27"/>
  <c r="N28" i="27"/>
  <c r="N26" i="27" s="1"/>
  <c r="N21" i="27"/>
  <c r="N12" i="27"/>
  <c r="G11" i="27"/>
  <c r="G12" i="27" s="1"/>
  <c r="G13" i="27" s="1"/>
  <c r="G14" i="27" s="1"/>
  <c r="G18" i="27" s="1"/>
  <c r="G19" i="27" s="1"/>
  <c r="G20" i="27" s="1"/>
  <c r="G21" i="27" s="1"/>
  <c r="G22" i="27" s="1"/>
  <c r="G23" i="27" s="1"/>
  <c r="G24" i="27" s="1"/>
  <c r="G25" i="27" s="1"/>
  <c r="G26" i="27" s="1"/>
  <c r="G27" i="27" s="1"/>
  <c r="G28" i="27" s="1"/>
  <c r="G29" i="27" s="1"/>
  <c r="G30" i="27" s="1"/>
  <c r="G31" i="27" s="1"/>
  <c r="G32" i="27" s="1"/>
  <c r="G33" i="27" s="1"/>
  <c r="G34" i="27" s="1"/>
  <c r="G35" i="27" s="1"/>
  <c r="G36" i="27" s="1"/>
  <c r="G37" i="27" s="1"/>
  <c r="G38" i="27" s="1"/>
  <c r="G39" i="27" s="1"/>
  <c r="G40" i="27" s="1"/>
  <c r="G41" i="27" s="1"/>
  <c r="G42" i="27" s="1"/>
  <c r="G43" i="27" s="1"/>
  <c r="G44" i="27" s="1"/>
  <c r="G45" i="27" s="1"/>
  <c r="G46" i="27" s="1"/>
  <c r="G47" i="27" s="1"/>
  <c r="G54" i="27" s="1"/>
  <c r="G57" i="27" s="1"/>
  <c r="G58" i="27" s="1"/>
  <c r="G64" i="27" s="1"/>
  <c r="G65" i="27" s="1"/>
  <c r="G66" i="27" s="1"/>
  <c r="G70" i="27" s="1"/>
  <c r="G71" i="27" s="1"/>
  <c r="G73" i="27" s="1"/>
  <c r="G74" i="27" s="1"/>
  <c r="G75" i="27" s="1"/>
  <c r="G76" i="27" s="1"/>
  <c r="G77" i="27" s="1"/>
  <c r="G78" i="27" s="1"/>
  <c r="G79" i="27" s="1"/>
  <c r="G80" i="27" s="1"/>
  <c r="G81" i="27" s="1"/>
  <c r="G82" i="27" s="1"/>
  <c r="G83" i="27" s="1"/>
  <c r="G84" i="27" s="1"/>
  <c r="G85" i="27" s="1"/>
  <c r="G86" i="27" s="1"/>
  <c r="G87" i="27" s="1"/>
  <c r="G88" i="27" s="1"/>
  <c r="G89" i="27" s="1"/>
  <c r="G90" i="27" s="1"/>
  <c r="G91" i="27" s="1"/>
  <c r="G95" i="27" s="1"/>
  <c r="G96" i="27" s="1"/>
  <c r="G97" i="27" s="1"/>
  <c r="G98" i="27" s="1"/>
  <c r="G99" i="27" s="1"/>
  <c r="G100" i="27" s="1"/>
  <c r="G101" i="27" s="1"/>
  <c r="G102" i="27" s="1"/>
  <c r="G103" i="27" s="1"/>
  <c r="G104" i="27" s="1"/>
  <c r="G105" i="27" s="1"/>
  <c r="G106" i="27" s="1"/>
  <c r="G107" i="27" s="1"/>
  <c r="G108" i="27" s="1"/>
  <c r="G109" i="27" s="1"/>
  <c r="G110" i="27" s="1"/>
  <c r="G115" i="27" s="1"/>
  <c r="G116" i="27" s="1"/>
  <c r="G117" i="27" s="1"/>
  <c r="G118" i="27" s="1"/>
  <c r="G119" i="27" s="1"/>
  <c r="G120" i="27" s="1"/>
  <c r="G121" i="27" s="1"/>
  <c r="G131" i="27" s="1"/>
  <c r="G132" i="27" s="1"/>
  <c r="G133" i="27" s="1"/>
  <c r="G134" i="27" s="1"/>
  <c r="G135" i="27" s="1"/>
  <c r="G136" i="27" s="1"/>
  <c r="G137" i="27" s="1"/>
  <c r="G138" i="27" s="1"/>
  <c r="G139" i="27" s="1"/>
  <c r="G140" i="27" s="1"/>
  <c r="G141" i="27" s="1"/>
  <c r="G142" i="27" s="1"/>
  <c r="G143" i="27" s="1"/>
  <c r="G144" i="27" s="1"/>
  <c r="G145" i="27" s="1"/>
  <c r="G146" i="27" s="1"/>
  <c r="G147" i="27" s="1"/>
  <c r="G148" i="27" s="1"/>
  <c r="G149" i="27" s="1"/>
  <c r="G150" i="27" s="1"/>
  <c r="G151" i="27" s="1"/>
  <c r="G152" i="27" s="1"/>
  <c r="G153" i="27" s="1"/>
  <c r="G154" i="27" s="1"/>
  <c r="G155" i="27" s="1"/>
  <c r="G156" i="27" s="1"/>
  <c r="G157" i="27" s="1"/>
  <c r="G158" i="27" s="1"/>
  <c r="G159" i="27" s="1"/>
  <c r="G160" i="27" s="1"/>
  <c r="G161" i="27" s="1"/>
  <c r="G162" i="27" s="1"/>
  <c r="G163" i="27" s="1"/>
  <c r="G164" i="27" s="1"/>
  <c r="G165" i="27" s="1"/>
  <c r="G166" i="27" s="1"/>
  <c r="G167" i="27" s="1"/>
  <c r="G168" i="27" s="1"/>
  <c r="G169" i="27" s="1"/>
  <c r="G170" i="27" s="1"/>
  <c r="G171" i="27" s="1"/>
  <c r="G172" i="27" s="1"/>
  <c r="G173" i="27" s="1"/>
  <c r="G174" i="27" s="1"/>
  <c r="G175" i="27" s="1"/>
  <c r="G194" i="26"/>
  <c r="I190" i="26"/>
  <c r="I189" i="26"/>
  <c r="I188" i="26"/>
  <c r="I187" i="26"/>
  <c r="N186" i="26"/>
  <c r="I185" i="26"/>
  <c r="I184" i="26"/>
  <c r="N183" i="26"/>
  <c r="N182" i="26" s="1"/>
  <c r="I181" i="26"/>
  <c r="I180" i="26"/>
  <c r="I179" i="26"/>
  <c r="N178" i="26"/>
  <c r="N177" i="26" s="1"/>
  <c r="G178" i="26"/>
  <c r="G179" i="26" s="1"/>
  <c r="G180" i="26" s="1"/>
  <c r="G181" i="26" s="1"/>
  <c r="G182" i="26" s="1"/>
  <c r="G183" i="26" s="1"/>
  <c r="G184" i="26" s="1"/>
  <c r="G185" i="26" s="1"/>
  <c r="G186" i="26" s="1"/>
  <c r="G187" i="26" s="1"/>
  <c r="G188" i="26" s="1"/>
  <c r="G189" i="26" s="1"/>
  <c r="G190" i="26" s="1"/>
  <c r="G191" i="26" s="1"/>
  <c r="I175" i="26"/>
  <c r="I174" i="26"/>
  <c r="I172" i="26"/>
  <c r="I171" i="26"/>
  <c r="I170" i="26"/>
  <c r="I169" i="26"/>
  <c r="I168" i="26"/>
  <c r="I167" i="26"/>
  <c r="N166" i="26"/>
  <c r="I164" i="26"/>
  <c r="I163" i="26"/>
  <c r="I162" i="26"/>
  <c r="N158" i="26"/>
  <c r="I157" i="26"/>
  <c r="I156" i="26"/>
  <c r="I155" i="26"/>
  <c r="I154" i="26"/>
  <c r="N153" i="26"/>
  <c r="I153" i="26"/>
  <c r="I152" i="26"/>
  <c r="I151" i="26"/>
  <c r="N150" i="26"/>
  <c r="N149" i="26" s="1"/>
  <c r="I148" i="26"/>
  <c r="I147" i="26"/>
  <c r="I146" i="26"/>
  <c r="N145" i="26"/>
  <c r="I144" i="26"/>
  <c r="I143" i="26"/>
  <c r="I142" i="26"/>
  <c r="I141" i="26"/>
  <c r="I140" i="26"/>
  <c r="I139" i="26"/>
  <c r="I138" i="26"/>
  <c r="N137" i="26"/>
  <c r="I136" i="26"/>
  <c r="I135" i="26"/>
  <c r="I134" i="26"/>
  <c r="N133" i="26"/>
  <c r="N121" i="26"/>
  <c r="N115" i="26" s="1"/>
  <c r="I120" i="26"/>
  <c r="I119" i="26"/>
  <c r="I118" i="26"/>
  <c r="I117" i="26"/>
  <c r="I116" i="26"/>
  <c r="N110" i="26"/>
  <c r="F110" i="26"/>
  <c r="I109" i="26"/>
  <c r="I108" i="26"/>
  <c r="I107" i="26"/>
  <c r="I106" i="26"/>
  <c r="I105" i="26"/>
  <c r="I104" i="26"/>
  <c r="I103" i="26"/>
  <c r="I102" i="26"/>
  <c r="N101" i="26"/>
  <c r="I101" i="26"/>
  <c r="I100" i="26"/>
  <c r="I99" i="26"/>
  <c r="I98" i="26"/>
  <c r="I97" i="26"/>
  <c r="N96" i="26"/>
  <c r="I95" i="26"/>
  <c r="N91" i="26"/>
  <c r="I91" i="26"/>
  <c r="I90" i="26"/>
  <c r="I89" i="26"/>
  <c r="I88" i="26"/>
  <c r="I87" i="26"/>
  <c r="N86" i="26"/>
  <c r="I86" i="26"/>
  <c r="I84" i="26"/>
  <c r="I83" i="26"/>
  <c r="I82" i="26"/>
  <c r="I81" i="26"/>
  <c r="I80" i="26"/>
  <c r="N79" i="26"/>
  <c r="I78" i="26"/>
  <c r="I77" i="26"/>
  <c r="I76" i="26"/>
  <c r="I74" i="26"/>
  <c r="I73" i="26"/>
  <c r="I72" i="26"/>
  <c r="I71" i="26"/>
  <c r="N70" i="26"/>
  <c r="I69" i="26"/>
  <c r="I68" i="26"/>
  <c r="I67" i="26"/>
  <c r="N66" i="26"/>
  <c r="N65" i="26" s="1"/>
  <c r="I66" i="26"/>
  <c r="I63" i="26"/>
  <c r="I62" i="26"/>
  <c r="I61" i="26"/>
  <c r="I60" i="26"/>
  <c r="I59" i="26"/>
  <c r="N58" i="26"/>
  <c r="I58" i="26"/>
  <c r="I57" i="26"/>
  <c r="I56" i="26"/>
  <c r="I55" i="26"/>
  <c r="N54" i="26"/>
  <c r="I53" i="26"/>
  <c r="I52" i="26"/>
  <c r="I51" i="26"/>
  <c r="I50" i="26"/>
  <c r="I49" i="26"/>
  <c r="I48" i="26"/>
  <c r="N47" i="26"/>
  <c r="I47" i="26"/>
  <c r="I46" i="26"/>
  <c r="I45" i="26"/>
  <c r="N44" i="26"/>
  <c r="I40" i="26"/>
  <c r="I39" i="26"/>
  <c r="I38" i="26"/>
  <c r="I37" i="26"/>
  <c r="I36" i="26"/>
  <c r="I35" i="26"/>
  <c r="N34" i="26"/>
  <c r="I33" i="26"/>
  <c r="I32" i="26"/>
  <c r="I31" i="26"/>
  <c r="I30" i="26"/>
  <c r="I29" i="26"/>
  <c r="N28" i="26"/>
  <c r="I27" i="26"/>
  <c r="I24" i="26"/>
  <c r="I23" i="26"/>
  <c r="I22" i="26"/>
  <c r="N21" i="26"/>
  <c r="I19" i="26"/>
  <c r="I18" i="26"/>
  <c r="I14" i="26"/>
  <c r="I13" i="26"/>
  <c r="N12" i="26"/>
  <c r="G11" i="26"/>
  <c r="G12" i="26" s="1"/>
  <c r="G13" i="26" s="1"/>
  <c r="G14" i="26" s="1"/>
  <c r="G18" i="26" s="1"/>
  <c r="G19" i="26" s="1"/>
  <c r="G20" i="26" s="1"/>
  <c r="G21" i="26" s="1"/>
  <c r="G22" i="26" s="1"/>
  <c r="G23" i="26" s="1"/>
  <c r="G24" i="26" s="1"/>
  <c r="G25" i="26" s="1"/>
  <c r="G26" i="26" s="1"/>
  <c r="G27" i="26" s="1"/>
  <c r="G28" i="26" s="1"/>
  <c r="G29" i="26" s="1"/>
  <c r="G30" i="26" s="1"/>
  <c r="G31" i="26" s="1"/>
  <c r="G32" i="26" s="1"/>
  <c r="G33" i="26" s="1"/>
  <c r="G34" i="26" s="1"/>
  <c r="G35" i="26" s="1"/>
  <c r="G36" i="26" s="1"/>
  <c r="G37" i="26" s="1"/>
  <c r="G38" i="26" s="1"/>
  <c r="G39" i="26" s="1"/>
  <c r="G40" i="26" s="1"/>
  <c r="G41" i="26" s="1"/>
  <c r="G42" i="26" s="1"/>
  <c r="G43" i="26" s="1"/>
  <c r="G44" i="26" s="1"/>
  <c r="G45" i="26" s="1"/>
  <c r="G46" i="26" s="1"/>
  <c r="G47" i="26" s="1"/>
  <c r="G54" i="26" s="1"/>
  <c r="G57" i="26" s="1"/>
  <c r="G58" i="26" s="1"/>
  <c r="G64" i="26" s="1"/>
  <c r="G65" i="26" s="1"/>
  <c r="G66" i="26" s="1"/>
  <c r="G70" i="26" s="1"/>
  <c r="G71" i="26" s="1"/>
  <c r="G73" i="26" s="1"/>
  <c r="G74" i="26" s="1"/>
  <c r="G75" i="26" s="1"/>
  <c r="G76" i="26" s="1"/>
  <c r="G77" i="26" s="1"/>
  <c r="G78" i="26" s="1"/>
  <c r="G79" i="26" s="1"/>
  <c r="G80" i="26" s="1"/>
  <c r="G81" i="26" s="1"/>
  <c r="G82" i="26" s="1"/>
  <c r="G83" i="26" s="1"/>
  <c r="G84" i="26" s="1"/>
  <c r="G85" i="26" s="1"/>
  <c r="G86" i="26" s="1"/>
  <c r="G87" i="26" s="1"/>
  <c r="G88" i="26" s="1"/>
  <c r="G89" i="26" s="1"/>
  <c r="G90" i="26" s="1"/>
  <c r="G91" i="26" s="1"/>
  <c r="G95" i="26" s="1"/>
  <c r="G96" i="26" s="1"/>
  <c r="G97" i="26" s="1"/>
  <c r="G98" i="26" s="1"/>
  <c r="G99" i="26" s="1"/>
  <c r="G100" i="26" s="1"/>
  <c r="G101" i="26" s="1"/>
  <c r="G102" i="26" s="1"/>
  <c r="G103" i="26" s="1"/>
  <c r="G104" i="26" s="1"/>
  <c r="G105" i="26" s="1"/>
  <c r="G106" i="26" s="1"/>
  <c r="G107" i="26" s="1"/>
  <c r="G108" i="26" s="1"/>
  <c r="G109" i="26" s="1"/>
  <c r="G110" i="26" s="1"/>
  <c r="G115" i="26" s="1"/>
  <c r="G116" i="26" s="1"/>
  <c r="G117" i="26" s="1"/>
  <c r="G118" i="26" s="1"/>
  <c r="G119" i="26" s="1"/>
  <c r="G120" i="26" s="1"/>
  <c r="G121" i="26" s="1"/>
  <c r="G131" i="26" s="1"/>
  <c r="G132" i="26" s="1"/>
  <c r="G133" i="26" s="1"/>
  <c r="G134" i="26" s="1"/>
  <c r="G135" i="26" s="1"/>
  <c r="G136" i="26" s="1"/>
  <c r="G137" i="26" s="1"/>
  <c r="G138" i="26" s="1"/>
  <c r="G139" i="26" s="1"/>
  <c r="G140" i="26" s="1"/>
  <c r="G141" i="26" s="1"/>
  <c r="G142" i="26" s="1"/>
  <c r="G143" i="26" s="1"/>
  <c r="G144" i="26" s="1"/>
  <c r="G145" i="26" s="1"/>
  <c r="G146" i="26" s="1"/>
  <c r="G147" i="26" s="1"/>
  <c r="G148" i="26" s="1"/>
  <c r="G149" i="26" s="1"/>
  <c r="G150" i="26" s="1"/>
  <c r="G151" i="26" s="1"/>
  <c r="G152" i="26" s="1"/>
  <c r="G153" i="26" s="1"/>
  <c r="G154" i="26" s="1"/>
  <c r="G155" i="26" s="1"/>
  <c r="G156" i="26" s="1"/>
  <c r="G157" i="26" s="1"/>
  <c r="G158" i="26" s="1"/>
  <c r="G159" i="26" s="1"/>
  <c r="G160" i="26" s="1"/>
  <c r="G161" i="26" s="1"/>
  <c r="G162" i="26" s="1"/>
  <c r="G163" i="26" s="1"/>
  <c r="G164" i="26" s="1"/>
  <c r="G165" i="26" s="1"/>
  <c r="G166" i="26" s="1"/>
  <c r="G167" i="26" s="1"/>
  <c r="G168" i="26" s="1"/>
  <c r="G169" i="26" s="1"/>
  <c r="G170" i="26" s="1"/>
  <c r="G171" i="26" s="1"/>
  <c r="G172" i="26" s="1"/>
  <c r="G173" i="26" s="1"/>
  <c r="G174" i="26" s="1"/>
  <c r="G175" i="26" s="1"/>
  <c r="G194" i="25"/>
  <c r="I190" i="25"/>
  <c r="I189" i="25"/>
  <c r="I188" i="25"/>
  <c r="I187" i="25"/>
  <c r="N186" i="25"/>
  <c r="I185" i="25"/>
  <c r="I184" i="25"/>
  <c r="N183" i="25"/>
  <c r="N182" i="25" s="1"/>
  <c r="I181" i="25"/>
  <c r="I180" i="25"/>
  <c r="I179" i="25"/>
  <c r="N178" i="25"/>
  <c r="N177" i="25" s="1"/>
  <c r="G178" i="25"/>
  <c r="G179" i="25" s="1"/>
  <c r="G180" i="25" s="1"/>
  <c r="G181" i="25" s="1"/>
  <c r="G182" i="25" s="1"/>
  <c r="G183" i="25" s="1"/>
  <c r="G184" i="25" s="1"/>
  <c r="G185" i="25" s="1"/>
  <c r="G186" i="25" s="1"/>
  <c r="G187" i="25" s="1"/>
  <c r="G188" i="25" s="1"/>
  <c r="G189" i="25" s="1"/>
  <c r="G190" i="25" s="1"/>
  <c r="G191" i="25" s="1"/>
  <c r="I175" i="25"/>
  <c r="I174" i="25"/>
  <c r="I172" i="25"/>
  <c r="I171" i="25"/>
  <c r="I170" i="25"/>
  <c r="I169" i="25"/>
  <c r="I168" i="25"/>
  <c r="I167" i="25"/>
  <c r="N166" i="25"/>
  <c r="I164" i="25"/>
  <c r="I163" i="25"/>
  <c r="I162" i="25"/>
  <c r="N158" i="25"/>
  <c r="I157" i="25"/>
  <c r="I156" i="25"/>
  <c r="I155" i="25"/>
  <c r="I154" i="25"/>
  <c r="N153" i="25"/>
  <c r="N149" i="25" s="1"/>
  <c r="I152" i="25"/>
  <c r="I151" i="25"/>
  <c r="N150" i="25"/>
  <c r="I148" i="25"/>
  <c r="I147" i="25"/>
  <c r="I146" i="25"/>
  <c r="N145" i="25"/>
  <c r="I144" i="25"/>
  <c r="I143" i="25"/>
  <c r="I142" i="25"/>
  <c r="I141" i="25"/>
  <c r="I140" i="25"/>
  <c r="I139" i="25"/>
  <c r="I138" i="25"/>
  <c r="N137" i="25"/>
  <c r="I136" i="25"/>
  <c r="I135" i="25"/>
  <c r="I134" i="25"/>
  <c r="N133" i="25"/>
  <c r="N121" i="25"/>
  <c r="N115" i="25" s="1"/>
  <c r="I120" i="25"/>
  <c r="I119" i="25"/>
  <c r="I118" i="25"/>
  <c r="I117" i="25"/>
  <c r="I116" i="25"/>
  <c r="N110" i="25"/>
  <c r="F110" i="25"/>
  <c r="I109" i="25"/>
  <c r="I108" i="25"/>
  <c r="I107" i="25"/>
  <c r="I106" i="25"/>
  <c r="I105" i="25"/>
  <c r="I104" i="25"/>
  <c r="I103" i="25"/>
  <c r="I102" i="25"/>
  <c r="N101" i="25"/>
  <c r="I100" i="25"/>
  <c r="I99" i="25"/>
  <c r="I98" i="25"/>
  <c r="I97" i="25"/>
  <c r="N96" i="25"/>
  <c r="I95" i="25"/>
  <c r="N91" i="25"/>
  <c r="L91" i="23"/>
  <c r="J91" i="23"/>
  <c r="I90" i="25"/>
  <c r="I89" i="25"/>
  <c r="I88" i="25"/>
  <c r="I87" i="25"/>
  <c r="N86" i="25"/>
  <c r="I86" i="25"/>
  <c r="I84" i="25"/>
  <c r="I83" i="25"/>
  <c r="I82" i="25"/>
  <c r="I81" i="25"/>
  <c r="I80" i="25"/>
  <c r="N79" i="25"/>
  <c r="I78" i="25"/>
  <c r="I77" i="25"/>
  <c r="I76" i="25"/>
  <c r="I74" i="25"/>
  <c r="I73" i="25"/>
  <c r="I72" i="25"/>
  <c r="I71" i="25"/>
  <c r="N70" i="25"/>
  <c r="I70" i="23"/>
  <c r="I69" i="25"/>
  <c r="I68" i="25"/>
  <c r="I67" i="25"/>
  <c r="N66" i="25"/>
  <c r="I63" i="25"/>
  <c r="I62" i="25"/>
  <c r="I61" i="25"/>
  <c r="I60" i="25"/>
  <c r="I59" i="25"/>
  <c r="N58" i="25"/>
  <c r="I58" i="25"/>
  <c r="I57" i="25"/>
  <c r="I56" i="25"/>
  <c r="I55" i="25"/>
  <c r="N54" i="25"/>
  <c r="I54" i="23"/>
  <c r="I53" i="25"/>
  <c r="I52" i="25"/>
  <c r="I51" i="25"/>
  <c r="I50" i="25"/>
  <c r="I49" i="25"/>
  <c r="I48" i="25"/>
  <c r="N47" i="25"/>
  <c r="L47" i="23"/>
  <c r="I46" i="25"/>
  <c r="I45" i="25"/>
  <c r="I40" i="25"/>
  <c r="I39" i="25"/>
  <c r="I38" i="25"/>
  <c r="I37" i="25"/>
  <c r="I36" i="25"/>
  <c r="I35" i="25"/>
  <c r="N34" i="25"/>
  <c r="I33" i="25"/>
  <c r="I32" i="25"/>
  <c r="I31" i="25"/>
  <c r="I30" i="25"/>
  <c r="I29" i="25"/>
  <c r="N28" i="25"/>
  <c r="N26" i="25" s="1"/>
  <c r="I27" i="25"/>
  <c r="I24" i="25"/>
  <c r="I23" i="25"/>
  <c r="I22" i="25"/>
  <c r="N21" i="25"/>
  <c r="I19" i="25"/>
  <c r="I18" i="25"/>
  <c r="I14" i="25"/>
  <c r="I13" i="25"/>
  <c r="N12" i="25"/>
  <c r="G11" i="25"/>
  <c r="G12" i="25" s="1"/>
  <c r="G13" i="25" s="1"/>
  <c r="G14" i="25" s="1"/>
  <c r="G18" i="25" s="1"/>
  <c r="G19" i="25" s="1"/>
  <c r="G20" i="25" s="1"/>
  <c r="G21" i="25" s="1"/>
  <c r="G22" i="25" s="1"/>
  <c r="G23" i="25" s="1"/>
  <c r="G24" i="25" s="1"/>
  <c r="G25" i="25" s="1"/>
  <c r="G26" i="25" s="1"/>
  <c r="G27" i="25" s="1"/>
  <c r="G28" i="25" s="1"/>
  <c r="G29" i="25" s="1"/>
  <c r="G30" i="25" s="1"/>
  <c r="G31" i="25" s="1"/>
  <c r="G32" i="25" s="1"/>
  <c r="G33" i="25" s="1"/>
  <c r="G34" i="25" s="1"/>
  <c r="G35" i="25" s="1"/>
  <c r="G36" i="25" s="1"/>
  <c r="G37" i="25" s="1"/>
  <c r="G38" i="25" s="1"/>
  <c r="G39" i="25" s="1"/>
  <c r="G40" i="25" s="1"/>
  <c r="G41" i="25" s="1"/>
  <c r="G42" i="25" s="1"/>
  <c r="G43" i="25" s="1"/>
  <c r="G44" i="25" s="1"/>
  <c r="G45" i="25" s="1"/>
  <c r="G46" i="25" s="1"/>
  <c r="G47" i="25" s="1"/>
  <c r="G54" i="25" s="1"/>
  <c r="G57" i="25" s="1"/>
  <c r="G58" i="25" s="1"/>
  <c r="G64" i="25" s="1"/>
  <c r="G65" i="25" s="1"/>
  <c r="G66" i="25" s="1"/>
  <c r="G70" i="25" s="1"/>
  <c r="G71" i="25" s="1"/>
  <c r="G73" i="25" s="1"/>
  <c r="G74" i="25" s="1"/>
  <c r="G75" i="25" s="1"/>
  <c r="G76" i="25" s="1"/>
  <c r="G77" i="25" s="1"/>
  <c r="G78" i="25" s="1"/>
  <c r="G79" i="25" s="1"/>
  <c r="G80" i="25" s="1"/>
  <c r="G81" i="25" s="1"/>
  <c r="G82" i="25" s="1"/>
  <c r="G83" i="25" s="1"/>
  <c r="G84" i="25" s="1"/>
  <c r="G85" i="25" s="1"/>
  <c r="G86" i="25" s="1"/>
  <c r="G87" i="25" s="1"/>
  <c r="G88" i="25" s="1"/>
  <c r="G89" i="25" s="1"/>
  <c r="G90" i="25" s="1"/>
  <c r="G91" i="25" s="1"/>
  <c r="G95" i="25" s="1"/>
  <c r="G96" i="25" s="1"/>
  <c r="G97" i="25" s="1"/>
  <c r="G98" i="25" s="1"/>
  <c r="G99" i="25" s="1"/>
  <c r="G100" i="25" s="1"/>
  <c r="G101" i="25" s="1"/>
  <c r="G102" i="25" s="1"/>
  <c r="G103" i="25" s="1"/>
  <c r="G104" i="25" s="1"/>
  <c r="G105" i="25" s="1"/>
  <c r="G106" i="25" s="1"/>
  <c r="G107" i="25" s="1"/>
  <c r="G108" i="25" s="1"/>
  <c r="G109" i="25" s="1"/>
  <c r="G110" i="25" s="1"/>
  <c r="G115" i="25" s="1"/>
  <c r="G116" i="25" s="1"/>
  <c r="G117" i="25" s="1"/>
  <c r="G118" i="25" s="1"/>
  <c r="G119" i="25" s="1"/>
  <c r="G120" i="25" s="1"/>
  <c r="G121" i="25" s="1"/>
  <c r="G131" i="25" s="1"/>
  <c r="G132" i="25" s="1"/>
  <c r="G133" i="25" s="1"/>
  <c r="G134" i="25" s="1"/>
  <c r="G135" i="25" s="1"/>
  <c r="G136" i="25" s="1"/>
  <c r="G137" i="25" s="1"/>
  <c r="G138" i="25" s="1"/>
  <c r="G139" i="25" s="1"/>
  <c r="G140" i="25" s="1"/>
  <c r="G141" i="25" s="1"/>
  <c r="G142" i="25" s="1"/>
  <c r="G143" i="25" s="1"/>
  <c r="G144" i="25" s="1"/>
  <c r="G145" i="25" s="1"/>
  <c r="G146" i="25" s="1"/>
  <c r="G147" i="25" s="1"/>
  <c r="G148" i="25" s="1"/>
  <c r="G149" i="25" s="1"/>
  <c r="G150" i="25" s="1"/>
  <c r="G151" i="25" s="1"/>
  <c r="G152" i="25" s="1"/>
  <c r="G153" i="25" s="1"/>
  <c r="G154" i="25" s="1"/>
  <c r="G155" i="25" s="1"/>
  <c r="G156" i="25" s="1"/>
  <c r="G157" i="25" s="1"/>
  <c r="G158" i="25" s="1"/>
  <c r="G159" i="25" s="1"/>
  <c r="G160" i="25" s="1"/>
  <c r="G161" i="25" s="1"/>
  <c r="G162" i="25" s="1"/>
  <c r="G163" i="25" s="1"/>
  <c r="G164" i="25" s="1"/>
  <c r="G165" i="25" s="1"/>
  <c r="G166" i="25" s="1"/>
  <c r="G167" i="25" s="1"/>
  <c r="G168" i="25" s="1"/>
  <c r="G169" i="25" s="1"/>
  <c r="G170" i="25" s="1"/>
  <c r="G171" i="25" s="1"/>
  <c r="G172" i="25" s="1"/>
  <c r="G173" i="25" s="1"/>
  <c r="G174" i="25" s="1"/>
  <c r="G175" i="25" s="1"/>
  <c r="K153" i="23"/>
  <c r="J121" i="23"/>
  <c r="K121" i="23"/>
  <c r="K110" i="23"/>
  <c r="L110" i="23"/>
  <c r="I110" i="23"/>
  <c r="K91" i="23"/>
  <c r="K79" i="23"/>
  <c r="K70" i="23"/>
  <c r="J58" i="23"/>
  <c r="J47" i="23"/>
  <c r="J87" i="13" l="1"/>
  <c r="J87" i="33" s="1"/>
  <c r="J87" i="31"/>
  <c r="K117" i="13"/>
  <c r="K117" i="31"/>
  <c r="H162" i="13"/>
  <c r="H162" i="31"/>
  <c r="K154" i="13"/>
  <c r="K154" i="31"/>
  <c r="K152" i="13"/>
  <c r="K152" i="31"/>
  <c r="K148" i="13"/>
  <c r="K148" i="31"/>
  <c r="K143" i="13"/>
  <c r="K143" i="31"/>
  <c r="H139" i="13"/>
  <c r="H139" i="33" s="1"/>
  <c r="H139" i="31"/>
  <c r="H135" i="13"/>
  <c r="H135" i="33" s="1"/>
  <c r="H135" i="31"/>
  <c r="H131" i="13"/>
  <c r="H131" i="33" s="1"/>
  <c r="H131" i="31"/>
  <c r="H126" i="13"/>
  <c r="H126" i="33" s="1"/>
  <c r="H126" i="31"/>
  <c r="H119" i="13"/>
  <c r="H119" i="33" s="1"/>
  <c r="H119" i="31"/>
  <c r="H115" i="13"/>
  <c r="H115" i="33" s="1"/>
  <c r="H115" i="31"/>
  <c r="H110" i="13"/>
  <c r="H110" i="33" s="1"/>
  <c r="H110" i="31"/>
  <c r="H106" i="13"/>
  <c r="H106" i="33" s="1"/>
  <c r="H106" i="31"/>
  <c r="H105" i="13"/>
  <c r="H105" i="33" s="1"/>
  <c r="H105" i="31"/>
  <c r="H100" i="13"/>
  <c r="H100" i="33" s="1"/>
  <c r="H100" i="31"/>
  <c r="I91" i="13"/>
  <c r="I91" i="33" s="1"/>
  <c r="I91" i="31"/>
  <c r="I85" i="13"/>
  <c r="I85" i="33" s="1"/>
  <c r="I85" i="31"/>
  <c r="I82" i="13"/>
  <c r="I82" i="33" s="1"/>
  <c r="I82" i="31"/>
  <c r="I79" i="13"/>
  <c r="I79" i="33" s="1"/>
  <c r="I79" i="31"/>
  <c r="I75" i="13"/>
  <c r="I75" i="33" s="1"/>
  <c r="I75" i="31"/>
  <c r="H68" i="13"/>
  <c r="H68" i="33" s="1"/>
  <c r="H68" i="31"/>
  <c r="I64" i="13"/>
  <c r="I64" i="33" s="1"/>
  <c r="I64" i="31"/>
  <c r="I61" i="13"/>
  <c r="I61" i="33" s="1"/>
  <c r="I61" i="31"/>
  <c r="I58" i="13"/>
  <c r="I58" i="33" s="1"/>
  <c r="I58" i="31"/>
  <c r="I54" i="13"/>
  <c r="I54" i="33" s="1"/>
  <c r="I54" i="31"/>
  <c r="I52" i="13"/>
  <c r="I52" i="33" s="1"/>
  <c r="I52" i="31"/>
  <c r="K42" i="13"/>
  <c r="K42" i="31"/>
  <c r="K36" i="13"/>
  <c r="K36" i="31"/>
  <c r="K34" i="13"/>
  <c r="K34" i="31"/>
  <c r="K32" i="13"/>
  <c r="K32" i="31"/>
  <c r="K29" i="13"/>
  <c r="K29" i="31"/>
  <c r="K27" i="13"/>
  <c r="K27" i="31"/>
  <c r="K24" i="13"/>
  <c r="K24" i="31"/>
  <c r="G22" i="13"/>
  <c r="G22" i="31"/>
  <c r="O22" i="31" s="1"/>
  <c r="Q25" i="23"/>
  <c r="H20" i="13"/>
  <c r="H20" i="33" s="1"/>
  <c r="H20" i="31"/>
  <c r="H17" i="13"/>
  <c r="H17" i="33" s="1"/>
  <c r="H17" i="31"/>
  <c r="I15" i="13"/>
  <c r="I15" i="33" s="1"/>
  <c r="I15" i="31"/>
  <c r="H13" i="13"/>
  <c r="H13" i="33" s="1"/>
  <c r="H13" i="31"/>
  <c r="I44" i="13"/>
  <c r="I44" i="33" s="1"/>
  <c r="I44" i="31"/>
  <c r="J94" i="13"/>
  <c r="J94" i="33" s="1"/>
  <c r="J94" i="31"/>
  <c r="I96" i="25"/>
  <c r="I45" i="13"/>
  <c r="I45" i="33" s="1"/>
  <c r="I45" i="31"/>
  <c r="N132" i="22"/>
  <c r="J163" i="13"/>
  <c r="J163" i="31"/>
  <c r="K162" i="13"/>
  <c r="K162" i="31"/>
  <c r="G162" i="13"/>
  <c r="O162" i="13" s="1"/>
  <c r="G162" i="31"/>
  <c r="O162" i="31" s="1"/>
  <c r="Q198" i="23"/>
  <c r="I160" i="13"/>
  <c r="I159" i="33" s="1"/>
  <c r="I160" i="31"/>
  <c r="J154" i="13"/>
  <c r="J154" i="33" s="1"/>
  <c r="J154" i="31"/>
  <c r="J153" i="13"/>
  <c r="J153" i="33" s="1"/>
  <c r="J153" i="31"/>
  <c r="J152" i="13"/>
  <c r="J152" i="33" s="1"/>
  <c r="J152" i="31"/>
  <c r="J151" i="13"/>
  <c r="J151" i="33" s="1"/>
  <c r="J151" i="31"/>
  <c r="J149" i="13"/>
  <c r="J149" i="33" s="1"/>
  <c r="J149" i="31"/>
  <c r="J148" i="13"/>
  <c r="J148" i="33" s="1"/>
  <c r="J148" i="31"/>
  <c r="J145" i="13"/>
  <c r="J145" i="33" s="1"/>
  <c r="J145" i="31"/>
  <c r="J144" i="13"/>
  <c r="J144" i="33" s="1"/>
  <c r="J144" i="31"/>
  <c r="J143" i="13"/>
  <c r="J143" i="33" s="1"/>
  <c r="J143" i="31"/>
  <c r="J140" i="13"/>
  <c r="J140" i="33" s="1"/>
  <c r="J140" i="31"/>
  <c r="K139" i="13"/>
  <c r="K139" i="31"/>
  <c r="K138" i="13"/>
  <c r="K138" i="31"/>
  <c r="K136" i="13"/>
  <c r="K136" i="31"/>
  <c r="K135" i="13"/>
  <c r="K135" i="31"/>
  <c r="K134" i="13"/>
  <c r="K134" i="31"/>
  <c r="K133" i="13"/>
  <c r="K133" i="31"/>
  <c r="K132" i="13"/>
  <c r="K132" i="31"/>
  <c r="K131" i="13"/>
  <c r="K131" i="31"/>
  <c r="K128" i="13"/>
  <c r="K128" i="31"/>
  <c r="K127" i="13"/>
  <c r="K127" i="31"/>
  <c r="K126" i="13"/>
  <c r="K126" i="31"/>
  <c r="K121" i="13"/>
  <c r="K121" i="31"/>
  <c r="K120" i="13"/>
  <c r="K120" i="31"/>
  <c r="K119" i="13"/>
  <c r="K119" i="31"/>
  <c r="K118" i="13"/>
  <c r="K118" i="31"/>
  <c r="K116" i="13"/>
  <c r="K116" i="31"/>
  <c r="K115" i="13"/>
  <c r="K115" i="31"/>
  <c r="K112" i="13"/>
  <c r="K112" i="31"/>
  <c r="K111" i="13"/>
  <c r="K111" i="31"/>
  <c r="K110" i="13"/>
  <c r="K110" i="31"/>
  <c r="K108" i="13"/>
  <c r="K108" i="31"/>
  <c r="K107" i="13"/>
  <c r="K107" i="31"/>
  <c r="K106" i="13"/>
  <c r="K106" i="31"/>
  <c r="K105" i="13"/>
  <c r="K105" i="31"/>
  <c r="K104" i="13"/>
  <c r="K104" i="31"/>
  <c r="K103" i="13"/>
  <c r="K103" i="31"/>
  <c r="K102" i="13"/>
  <c r="K102" i="31"/>
  <c r="K100" i="13"/>
  <c r="K100" i="31"/>
  <c r="K99" i="13"/>
  <c r="K99" i="31"/>
  <c r="K98" i="13"/>
  <c r="K98" i="31"/>
  <c r="H93" i="13"/>
  <c r="H93" i="33" s="1"/>
  <c r="H93" i="31"/>
  <c r="H92" i="13"/>
  <c r="H92" i="33" s="1"/>
  <c r="H92" i="31"/>
  <c r="H91" i="13"/>
  <c r="H91" i="33" s="1"/>
  <c r="H91" i="31"/>
  <c r="H90" i="13"/>
  <c r="H90" i="33" s="1"/>
  <c r="H90" i="31"/>
  <c r="H89" i="13"/>
  <c r="H89" i="33" s="1"/>
  <c r="H89" i="31"/>
  <c r="H86" i="13"/>
  <c r="H86" i="33" s="1"/>
  <c r="H86" i="31"/>
  <c r="H85" i="13"/>
  <c r="H85" i="33" s="1"/>
  <c r="H85" i="31"/>
  <c r="H84" i="13"/>
  <c r="H84" i="33" s="1"/>
  <c r="H84" i="31"/>
  <c r="H83" i="13"/>
  <c r="H83" i="33" s="1"/>
  <c r="H83" i="31"/>
  <c r="H82" i="13"/>
  <c r="H82" i="33" s="1"/>
  <c r="H82" i="31"/>
  <c r="H81" i="13"/>
  <c r="H81" i="33" s="1"/>
  <c r="H81" i="31"/>
  <c r="H80" i="13"/>
  <c r="H80" i="33" s="1"/>
  <c r="H80" i="31"/>
  <c r="H79" i="13"/>
  <c r="H79" i="33" s="1"/>
  <c r="H79" i="31"/>
  <c r="H77" i="13"/>
  <c r="H77" i="33" s="1"/>
  <c r="H77" i="31"/>
  <c r="H76" i="13"/>
  <c r="H76" i="33" s="1"/>
  <c r="H76" i="31"/>
  <c r="H75" i="13"/>
  <c r="H75" i="33" s="1"/>
  <c r="H75" i="31"/>
  <c r="H74" i="13"/>
  <c r="H74" i="33" s="1"/>
  <c r="H74" i="31"/>
  <c r="H72" i="13"/>
  <c r="H72" i="33" s="1"/>
  <c r="H72" i="31"/>
  <c r="K70" i="13"/>
  <c r="K70" i="31"/>
  <c r="K69" i="13"/>
  <c r="K69" i="31"/>
  <c r="K68" i="13"/>
  <c r="K68" i="31"/>
  <c r="K67" i="13"/>
  <c r="K67" i="31"/>
  <c r="K65" i="13"/>
  <c r="K65" i="31"/>
  <c r="G65" i="13"/>
  <c r="G65" i="31"/>
  <c r="O65" i="31" s="1"/>
  <c r="Q85" i="23"/>
  <c r="H64" i="13"/>
  <c r="H64" i="33" s="1"/>
  <c r="H64" i="31"/>
  <c r="H63" i="13"/>
  <c r="H63" i="33" s="1"/>
  <c r="H63" i="31"/>
  <c r="H62" i="13"/>
  <c r="H62" i="33" s="1"/>
  <c r="H62" i="31"/>
  <c r="H61" i="13"/>
  <c r="H61" i="33" s="1"/>
  <c r="H61" i="31"/>
  <c r="H60" i="13"/>
  <c r="H60" i="33" s="1"/>
  <c r="H60" i="31"/>
  <c r="H58" i="13"/>
  <c r="H58" i="33" s="1"/>
  <c r="H58" i="31"/>
  <c r="H57" i="13"/>
  <c r="H57" i="33" s="1"/>
  <c r="H57" i="31"/>
  <c r="H56" i="13"/>
  <c r="H56" i="33" s="1"/>
  <c r="H56" i="31"/>
  <c r="H54" i="13"/>
  <c r="H54" i="33" s="1"/>
  <c r="H54" i="31"/>
  <c r="H53" i="13"/>
  <c r="H53" i="33" s="1"/>
  <c r="H53" i="31"/>
  <c r="H52" i="13"/>
  <c r="H52" i="33" s="1"/>
  <c r="H52" i="31"/>
  <c r="H48" i="13"/>
  <c r="H48" i="33" s="1"/>
  <c r="H48" i="31"/>
  <c r="I46" i="13"/>
  <c r="I46" i="33" s="1"/>
  <c r="I46" i="31"/>
  <c r="J43" i="13"/>
  <c r="J43" i="33" s="1"/>
  <c r="J43" i="31"/>
  <c r="J42" i="13"/>
  <c r="J42" i="33" s="1"/>
  <c r="J42" i="31"/>
  <c r="J37" i="13"/>
  <c r="J37" i="33" s="1"/>
  <c r="J37" i="31"/>
  <c r="J36" i="13"/>
  <c r="J36" i="33" s="1"/>
  <c r="J36" i="31"/>
  <c r="J35" i="13"/>
  <c r="J35" i="33" s="1"/>
  <c r="J35" i="31"/>
  <c r="J34" i="13"/>
  <c r="J34" i="33" s="1"/>
  <c r="J34" i="31"/>
  <c r="J33" i="13"/>
  <c r="J33" i="33" s="1"/>
  <c r="J33" i="31"/>
  <c r="J32" i="13"/>
  <c r="J32" i="33" s="1"/>
  <c r="J32" i="31"/>
  <c r="J30" i="13"/>
  <c r="J30" i="33" s="1"/>
  <c r="J30" i="31"/>
  <c r="J29" i="13"/>
  <c r="J29" i="33" s="1"/>
  <c r="J29" i="31"/>
  <c r="J28" i="13"/>
  <c r="J28" i="33" s="1"/>
  <c r="J28" i="31"/>
  <c r="J27" i="13"/>
  <c r="J27" i="33" s="1"/>
  <c r="J27" i="31"/>
  <c r="J26" i="13"/>
  <c r="J26" i="33" s="1"/>
  <c r="J26" i="31"/>
  <c r="J24" i="13"/>
  <c r="J24" i="33" s="1"/>
  <c r="J24" i="31"/>
  <c r="J22" i="13"/>
  <c r="J22" i="33" s="1"/>
  <c r="J22" i="31"/>
  <c r="K21" i="13"/>
  <c r="K21" i="31"/>
  <c r="K20" i="13"/>
  <c r="K20" i="31"/>
  <c r="K19" i="13"/>
  <c r="K19" i="31"/>
  <c r="K17" i="13"/>
  <c r="K17" i="31"/>
  <c r="G17" i="13"/>
  <c r="G17" i="31"/>
  <c r="O17" i="31" s="1"/>
  <c r="Q20" i="23"/>
  <c r="H16" i="13"/>
  <c r="H16" i="33" s="1"/>
  <c r="H16" i="31"/>
  <c r="H15" i="13"/>
  <c r="H15" i="33" s="1"/>
  <c r="H15" i="31"/>
  <c r="K14" i="13"/>
  <c r="K14" i="31"/>
  <c r="K13" i="13"/>
  <c r="K13" i="31"/>
  <c r="J59" i="13"/>
  <c r="J59" i="33" s="1"/>
  <c r="J59" i="31"/>
  <c r="K71" i="13"/>
  <c r="K71" i="31"/>
  <c r="K130" i="13"/>
  <c r="K130" i="31"/>
  <c r="K163" i="13"/>
  <c r="K163" i="31"/>
  <c r="K153" i="13"/>
  <c r="K153" i="31"/>
  <c r="K149" i="13"/>
  <c r="K149" i="31"/>
  <c r="K144" i="13"/>
  <c r="K144" i="31"/>
  <c r="G140" i="13"/>
  <c r="G140" i="31"/>
  <c r="O140" i="31" s="1"/>
  <c r="Q176" i="23"/>
  <c r="H136" i="13"/>
  <c r="H136" i="33" s="1"/>
  <c r="H136" i="31"/>
  <c r="H133" i="13"/>
  <c r="H133" i="33" s="1"/>
  <c r="H133" i="31"/>
  <c r="H128" i="13"/>
  <c r="H128" i="33" s="1"/>
  <c r="H128" i="31"/>
  <c r="H121" i="13"/>
  <c r="H121" i="33" s="1"/>
  <c r="H121" i="31"/>
  <c r="H118" i="13"/>
  <c r="H118" i="33" s="1"/>
  <c r="H118" i="31"/>
  <c r="H111" i="13"/>
  <c r="H111" i="33" s="1"/>
  <c r="H111" i="31"/>
  <c r="H107" i="13"/>
  <c r="H107" i="33" s="1"/>
  <c r="H107" i="31"/>
  <c r="H103" i="13"/>
  <c r="H103" i="33" s="1"/>
  <c r="H103" i="31"/>
  <c r="H99" i="13"/>
  <c r="H99" i="33" s="1"/>
  <c r="H99" i="31"/>
  <c r="I93" i="13"/>
  <c r="I93" i="33" s="1"/>
  <c r="I93" i="31"/>
  <c r="I89" i="13"/>
  <c r="I89" i="33" s="1"/>
  <c r="I89" i="31"/>
  <c r="I84" i="13"/>
  <c r="I84" i="33" s="1"/>
  <c r="I84" i="31"/>
  <c r="I81" i="13"/>
  <c r="I81" i="33" s="1"/>
  <c r="I81" i="31"/>
  <c r="I77" i="13"/>
  <c r="I77" i="33" s="1"/>
  <c r="I77" i="31"/>
  <c r="I74" i="13"/>
  <c r="I74" i="33" s="1"/>
  <c r="I74" i="31"/>
  <c r="H70" i="13"/>
  <c r="H70" i="33" s="1"/>
  <c r="H70" i="31"/>
  <c r="H67" i="13"/>
  <c r="H67" i="33" s="1"/>
  <c r="H67" i="31"/>
  <c r="I63" i="13"/>
  <c r="I63" i="33" s="1"/>
  <c r="I63" i="31"/>
  <c r="I60" i="13"/>
  <c r="I60" i="33" s="1"/>
  <c r="I60" i="31"/>
  <c r="I56" i="13"/>
  <c r="I56" i="33" s="1"/>
  <c r="I56" i="31"/>
  <c r="I48" i="13"/>
  <c r="I48" i="33" s="1"/>
  <c r="I48" i="31"/>
  <c r="J46" i="13"/>
  <c r="J46" i="33" s="1"/>
  <c r="J46" i="31"/>
  <c r="K43" i="13"/>
  <c r="K43" i="31"/>
  <c r="K37" i="13"/>
  <c r="K37" i="31"/>
  <c r="K35" i="13"/>
  <c r="K35" i="31"/>
  <c r="K33" i="13"/>
  <c r="K33" i="31"/>
  <c r="K30" i="13"/>
  <c r="K30" i="31"/>
  <c r="K28" i="13"/>
  <c r="K28" i="31"/>
  <c r="K26" i="13"/>
  <c r="K26" i="31"/>
  <c r="K22" i="13"/>
  <c r="K22" i="31"/>
  <c r="H21" i="13"/>
  <c r="H21" i="33" s="1"/>
  <c r="H21" i="31"/>
  <c r="H19" i="13"/>
  <c r="H19" i="33" s="1"/>
  <c r="H19" i="31"/>
  <c r="I16" i="13"/>
  <c r="I16" i="33" s="1"/>
  <c r="I16" i="31"/>
  <c r="H14" i="13"/>
  <c r="H14" i="33" s="1"/>
  <c r="H14" i="31"/>
  <c r="J71" i="13"/>
  <c r="J71" i="33" s="1"/>
  <c r="J71" i="31"/>
  <c r="I47" i="13"/>
  <c r="I47" i="33" s="1"/>
  <c r="I47" i="31"/>
  <c r="H87" i="13"/>
  <c r="H87" i="33" s="1"/>
  <c r="H87" i="31"/>
  <c r="I94" i="13"/>
  <c r="I94" i="33" s="1"/>
  <c r="I94" i="31"/>
  <c r="K44" i="13"/>
  <c r="K44" i="31"/>
  <c r="H45" i="13"/>
  <c r="H45" i="33" s="1"/>
  <c r="H45" i="31"/>
  <c r="H51" i="13"/>
  <c r="H51" i="33" s="1"/>
  <c r="H51" i="31"/>
  <c r="I59" i="13"/>
  <c r="I59" i="33" s="1"/>
  <c r="I59" i="31"/>
  <c r="I130" i="13"/>
  <c r="I130" i="33" s="1"/>
  <c r="I130" i="31"/>
  <c r="I87" i="13"/>
  <c r="I87" i="33" s="1"/>
  <c r="I87" i="31"/>
  <c r="I163" i="13"/>
  <c r="I163" i="31"/>
  <c r="J162" i="13"/>
  <c r="J162" i="31"/>
  <c r="O161" i="33"/>
  <c r="O161" i="5"/>
  <c r="H160" i="13"/>
  <c r="H159" i="33" s="1"/>
  <c r="H160" i="31"/>
  <c r="I154" i="13"/>
  <c r="I154" i="33" s="1"/>
  <c r="I154" i="31"/>
  <c r="I153" i="13"/>
  <c r="I153" i="33" s="1"/>
  <c r="I153" i="31"/>
  <c r="I152" i="13"/>
  <c r="I152" i="33" s="1"/>
  <c r="I152" i="31"/>
  <c r="I151" i="13"/>
  <c r="I151" i="33" s="1"/>
  <c r="I151" i="31"/>
  <c r="I149" i="13"/>
  <c r="I149" i="33" s="1"/>
  <c r="I149" i="31"/>
  <c r="I148" i="13"/>
  <c r="I148" i="33" s="1"/>
  <c r="I148" i="31"/>
  <c r="I145" i="13"/>
  <c r="I145" i="33" s="1"/>
  <c r="I145" i="31"/>
  <c r="I144" i="13"/>
  <c r="I144" i="33" s="1"/>
  <c r="I144" i="31"/>
  <c r="I143" i="13"/>
  <c r="I143" i="33" s="1"/>
  <c r="I143" i="31"/>
  <c r="I140" i="13"/>
  <c r="I140" i="33" s="1"/>
  <c r="I140" i="31"/>
  <c r="J139" i="13"/>
  <c r="J139" i="33" s="1"/>
  <c r="J139" i="31"/>
  <c r="J138" i="13"/>
  <c r="J138" i="33" s="1"/>
  <c r="J160" i="33" s="1"/>
  <c r="J138" i="31"/>
  <c r="J136" i="13"/>
  <c r="J136" i="33" s="1"/>
  <c r="J136" i="31"/>
  <c r="J135" i="13"/>
  <c r="J135" i="33" s="1"/>
  <c r="J135" i="31"/>
  <c r="J134" i="13"/>
  <c r="J134" i="33" s="1"/>
  <c r="J134" i="31"/>
  <c r="J133" i="13"/>
  <c r="J133" i="33" s="1"/>
  <c r="J133" i="31"/>
  <c r="J132" i="13"/>
  <c r="J132" i="33" s="1"/>
  <c r="J132" i="31"/>
  <c r="J131" i="13"/>
  <c r="J131" i="33" s="1"/>
  <c r="J131" i="31"/>
  <c r="J128" i="13"/>
  <c r="J128" i="33" s="1"/>
  <c r="J128" i="31"/>
  <c r="J127" i="13"/>
  <c r="J127" i="33" s="1"/>
  <c r="J127" i="31"/>
  <c r="J126" i="13"/>
  <c r="J126" i="33" s="1"/>
  <c r="J126" i="31"/>
  <c r="J121" i="13"/>
  <c r="J121" i="33" s="1"/>
  <c r="J121" i="31"/>
  <c r="J120" i="13"/>
  <c r="J120" i="33" s="1"/>
  <c r="J120" i="31"/>
  <c r="J119" i="13"/>
  <c r="J119" i="33" s="1"/>
  <c r="J119" i="31"/>
  <c r="J118" i="13"/>
  <c r="J118" i="33" s="1"/>
  <c r="J118" i="31"/>
  <c r="J116" i="13"/>
  <c r="J116" i="33" s="1"/>
  <c r="J116" i="31"/>
  <c r="J115" i="13"/>
  <c r="J115" i="33" s="1"/>
  <c r="J115" i="31"/>
  <c r="J112" i="13"/>
  <c r="J112" i="33" s="1"/>
  <c r="J112" i="31"/>
  <c r="J111" i="13"/>
  <c r="J111" i="33" s="1"/>
  <c r="J111" i="31"/>
  <c r="J110" i="13"/>
  <c r="J110" i="33" s="1"/>
  <c r="J110" i="31"/>
  <c r="J108" i="13"/>
  <c r="J108" i="33" s="1"/>
  <c r="J108" i="31"/>
  <c r="J107" i="13"/>
  <c r="J107" i="33" s="1"/>
  <c r="J107" i="31"/>
  <c r="J106" i="13"/>
  <c r="J106" i="33" s="1"/>
  <c r="J106" i="31"/>
  <c r="J105" i="13"/>
  <c r="J105" i="33" s="1"/>
  <c r="J105" i="31"/>
  <c r="J104" i="13"/>
  <c r="J104" i="33" s="1"/>
  <c r="J104" i="31"/>
  <c r="J103" i="13"/>
  <c r="J103" i="33" s="1"/>
  <c r="J103" i="31"/>
  <c r="J102" i="13"/>
  <c r="J102" i="33" s="1"/>
  <c r="J102" i="31"/>
  <c r="J100" i="13"/>
  <c r="J100" i="33" s="1"/>
  <c r="J100" i="31"/>
  <c r="J99" i="13"/>
  <c r="J99" i="33" s="1"/>
  <c r="J99" i="31"/>
  <c r="J98" i="13"/>
  <c r="J98" i="33" s="1"/>
  <c r="J98" i="31"/>
  <c r="K93" i="13"/>
  <c r="K93" i="31"/>
  <c r="K92" i="13"/>
  <c r="K92" i="31"/>
  <c r="K91" i="13"/>
  <c r="K91" i="31"/>
  <c r="K89" i="13"/>
  <c r="K89" i="31"/>
  <c r="K86" i="13"/>
  <c r="K86" i="31"/>
  <c r="K85" i="13"/>
  <c r="K85" i="31"/>
  <c r="K84" i="13"/>
  <c r="K84" i="31"/>
  <c r="K83" i="13"/>
  <c r="K83" i="31"/>
  <c r="K82" i="13"/>
  <c r="K82" i="31"/>
  <c r="K81" i="13"/>
  <c r="K81" i="31"/>
  <c r="K80" i="13"/>
  <c r="K80" i="31"/>
  <c r="K79" i="13"/>
  <c r="K79" i="31"/>
  <c r="K77" i="13"/>
  <c r="K77" i="31"/>
  <c r="K76" i="13"/>
  <c r="K76" i="31"/>
  <c r="K75" i="13"/>
  <c r="K75" i="31"/>
  <c r="K74" i="13"/>
  <c r="K74" i="31"/>
  <c r="K72" i="13"/>
  <c r="K72" i="31"/>
  <c r="J70" i="13"/>
  <c r="J70" i="33" s="1"/>
  <c r="J70" i="31"/>
  <c r="J69" i="13"/>
  <c r="J69" i="33" s="1"/>
  <c r="J69" i="31"/>
  <c r="J68" i="13"/>
  <c r="J68" i="33" s="1"/>
  <c r="J68" i="31"/>
  <c r="J67" i="13"/>
  <c r="J67" i="33" s="1"/>
  <c r="J67" i="31"/>
  <c r="J65" i="13"/>
  <c r="J65" i="33" s="1"/>
  <c r="J65" i="31"/>
  <c r="K64" i="13"/>
  <c r="K64" i="31"/>
  <c r="K63" i="13"/>
  <c r="K63" i="31"/>
  <c r="K62" i="13"/>
  <c r="K62" i="31"/>
  <c r="K61" i="13"/>
  <c r="K61" i="31"/>
  <c r="K60" i="13"/>
  <c r="K60" i="31"/>
  <c r="K58" i="13"/>
  <c r="K58" i="31"/>
  <c r="K57" i="13"/>
  <c r="K57" i="31"/>
  <c r="K56" i="13"/>
  <c r="K56" i="31"/>
  <c r="K54" i="13"/>
  <c r="K54" i="31"/>
  <c r="K53" i="13"/>
  <c r="K53" i="31"/>
  <c r="K52" i="13"/>
  <c r="K52" i="31"/>
  <c r="K48" i="13"/>
  <c r="K48" i="31"/>
  <c r="G48" i="13"/>
  <c r="G48" i="31"/>
  <c r="O48" i="31" s="1"/>
  <c r="Q64" i="23"/>
  <c r="H46" i="13"/>
  <c r="H46" i="33" s="1"/>
  <c r="H46" i="31"/>
  <c r="I43" i="13"/>
  <c r="I43" i="33" s="1"/>
  <c r="I43" i="31"/>
  <c r="I42" i="13"/>
  <c r="I42" i="33" s="1"/>
  <c r="I42" i="31"/>
  <c r="I37" i="13"/>
  <c r="I37" i="33" s="1"/>
  <c r="I37" i="31"/>
  <c r="I36" i="13"/>
  <c r="I36" i="33" s="1"/>
  <c r="I36" i="31"/>
  <c r="I35" i="13"/>
  <c r="I35" i="33" s="1"/>
  <c r="I35" i="31"/>
  <c r="I34" i="13"/>
  <c r="I34" i="33" s="1"/>
  <c r="I34" i="31"/>
  <c r="I33" i="13"/>
  <c r="I33" i="33" s="1"/>
  <c r="I33" i="31"/>
  <c r="I32" i="13"/>
  <c r="I32" i="33" s="1"/>
  <c r="I32" i="31"/>
  <c r="I30" i="13"/>
  <c r="I30" i="33" s="1"/>
  <c r="I30" i="31"/>
  <c r="I29" i="13"/>
  <c r="I29" i="33" s="1"/>
  <c r="I29" i="31"/>
  <c r="I28" i="13"/>
  <c r="I28" i="33" s="1"/>
  <c r="I28" i="31"/>
  <c r="I27" i="13"/>
  <c r="I27" i="33" s="1"/>
  <c r="I27" i="31"/>
  <c r="I26" i="13"/>
  <c r="I26" i="33" s="1"/>
  <c r="I26" i="31"/>
  <c r="I24" i="13"/>
  <c r="I24" i="33" s="1"/>
  <c r="I24" i="31"/>
  <c r="I22" i="13"/>
  <c r="I22" i="33" s="1"/>
  <c r="I22" i="31"/>
  <c r="J21" i="13"/>
  <c r="J21" i="33" s="1"/>
  <c r="J21" i="31"/>
  <c r="J20" i="13"/>
  <c r="J20" i="33" s="1"/>
  <c r="J20" i="31"/>
  <c r="J19" i="13"/>
  <c r="J19" i="33" s="1"/>
  <c r="J19" i="31"/>
  <c r="J17" i="13"/>
  <c r="J17" i="33" s="1"/>
  <c r="J17" i="31"/>
  <c r="K16" i="13"/>
  <c r="K16" i="31"/>
  <c r="K15" i="13"/>
  <c r="K15" i="31"/>
  <c r="J14" i="13"/>
  <c r="J14" i="33" s="1"/>
  <c r="J14" i="31"/>
  <c r="J13" i="13"/>
  <c r="J13" i="33" s="1"/>
  <c r="J13" i="31"/>
  <c r="H114" i="13"/>
  <c r="H114" i="33" s="1"/>
  <c r="H114" i="31"/>
  <c r="G163" i="13"/>
  <c r="O163" i="13" s="1"/>
  <c r="G163" i="31"/>
  <c r="O163" i="31" s="1"/>
  <c r="Q199" i="23"/>
  <c r="J160" i="13"/>
  <c r="J159" i="33" s="1"/>
  <c r="J160" i="31"/>
  <c r="K151" i="13"/>
  <c r="K151" i="31"/>
  <c r="K145" i="13"/>
  <c r="K145" i="31"/>
  <c r="K140" i="13"/>
  <c r="K140" i="31"/>
  <c r="H138" i="13"/>
  <c r="H138" i="33" s="1"/>
  <c r="H160" i="33" s="1"/>
  <c r="H138" i="31"/>
  <c r="H134" i="13"/>
  <c r="H134" i="33" s="1"/>
  <c r="H134" i="31"/>
  <c r="H132" i="13"/>
  <c r="H132" i="33" s="1"/>
  <c r="H132" i="31"/>
  <c r="H127" i="13"/>
  <c r="H127" i="33" s="1"/>
  <c r="H127" i="31"/>
  <c r="H120" i="13"/>
  <c r="H120" i="33" s="1"/>
  <c r="H120" i="31"/>
  <c r="H116" i="13"/>
  <c r="H116" i="33" s="1"/>
  <c r="H116" i="31"/>
  <c r="H112" i="13"/>
  <c r="H112" i="33" s="1"/>
  <c r="H112" i="31"/>
  <c r="H108" i="13"/>
  <c r="H108" i="33" s="1"/>
  <c r="H108" i="31"/>
  <c r="H104" i="13"/>
  <c r="H104" i="33" s="1"/>
  <c r="H104" i="31"/>
  <c r="H102" i="13"/>
  <c r="H102" i="33" s="1"/>
  <c r="H102" i="31"/>
  <c r="H98" i="13"/>
  <c r="H98" i="33" s="1"/>
  <c r="H98" i="31"/>
  <c r="I92" i="13"/>
  <c r="I92" i="33" s="1"/>
  <c r="I92" i="31"/>
  <c r="I90" i="13"/>
  <c r="I90" i="33" s="1"/>
  <c r="I90" i="31"/>
  <c r="I86" i="13"/>
  <c r="I86" i="33" s="1"/>
  <c r="I86" i="31"/>
  <c r="I83" i="13"/>
  <c r="I83" i="33" s="1"/>
  <c r="I83" i="31"/>
  <c r="I80" i="13"/>
  <c r="I80" i="33" s="1"/>
  <c r="I80" i="31"/>
  <c r="I76" i="13"/>
  <c r="I76" i="33" s="1"/>
  <c r="I76" i="31"/>
  <c r="I72" i="13"/>
  <c r="I72" i="33" s="1"/>
  <c r="I72" i="31"/>
  <c r="H69" i="13"/>
  <c r="H69" i="33" s="1"/>
  <c r="H69" i="31"/>
  <c r="H65" i="13"/>
  <c r="H65" i="33" s="1"/>
  <c r="H65" i="31"/>
  <c r="I62" i="13"/>
  <c r="I62" i="33" s="1"/>
  <c r="I62" i="31"/>
  <c r="I57" i="13"/>
  <c r="I57" i="33" s="1"/>
  <c r="I57" i="31"/>
  <c r="I53" i="13"/>
  <c r="I53" i="33" s="1"/>
  <c r="I53" i="31"/>
  <c r="J51" i="13"/>
  <c r="J51" i="33" s="1"/>
  <c r="J51" i="31"/>
  <c r="K87" i="13"/>
  <c r="K87" i="31"/>
  <c r="J117" i="13"/>
  <c r="J117" i="33" s="1"/>
  <c r="J117" i="31"/>
  <c r="I71" i="13"/>
  <c r="I71" i="33" s="1"/>
  <c r="I71" i="31"/>
  <c r="K59" i="13"/>
  <c r="K59" i="31"/>
  <c r="H130" i="13"/>
  <c r="H130" i="33" s="1"/>
  <c r="H130" i="31"/>
  <c r="H163" i="13"/>
  <c r="H163" i="31"/>
  <c r="I162" i="13"/>
  <c r="I162" i="31"/>
  <c r="K160" i="13"/>
  <c r="K160" i="31"/>
  <c r="G160" i="13"/>
  <c r="G160" i="31"/>
  <c r="O160" i="31" s="1"/>
  <c r="Q196" i="23"/>
  <c r="H154" i="13"/>
  <c r="H154" i="33" s="1"/>
  <c r="H154" i="31"/>
  <c r="H153" i="13"/>
  <c r="H153" i="33" s="1"/>
  <c r="H153" i="31"/>
  <c r="H152" i="13"/>
  <c r="H152" i="33" s="1"/>
  <c r="H152" i="31"/>
  <c r="H151" i="13"/>
  <c r="H151" i="33" s="1"/>
  <c r="H151" i="31"/>
  <c r="H149" i="13"/>
  <c r="H149" i="33" s="1"/>
  <c r="H149" i="31"/>
  <c r="H148" i="13"/>
  <c r="H148" i="33" s="1"/>
  <c r="H148" i="31"/>
  <c r="H145" i="13"/>
  <c r="H145" i="33" s="1"/>
  <c r="H145" i="31"/>
  <c r="H144" i="13"/>
  <c r="H144" i="33" s="1"/>
  <c r="H144" i="31"/>
  <c r="H143" i="13"/>
  <c r="H143" i="33" s="1"/>
  <c r="H143" i="31"/>
  <c r="H140" i="13"/>
  <c r="H140" i="33" s="1"/>
  <c r="H140" i="31"/>
  <c r="I139" i="13"/>
  <c r="I139" i="33" s="1"/>
  <c r="I139" i="31"/>
  <c r="I138" i="13"/>
  <c r="I138" i="33" s="1"/>
  <c r="I160" i="33" s="1"/>
  <c r="I138" i="31"/>
  <c r="I136" i="13"/>
  <c r="I136" i="33" s="1"/>
  <c r="I136" i="31"/>
  <c r="I135" i="13"/>
  <c r="I135" i="33" s="1"/>
  <c r="I135" i="31"/>
  <c r="I134" i="13"/>
  <c r="I134" i="33" s="1"/>
  <c r="I134" i="31"/>
  <c r="I133" i="13"/>
  <c r="I133" i="33" s="1"/>
  <c r="I133" i="31"/>
  <c r="I132" i="13"/>
  <c r="I132" i="33" s="1"/>
  <c r="I132" i="31"/>
  <c r="I131" i="13"/>
  <c r="I131" i="33" s="1"/>
  <c r="I131" i="31"/>
  <c r="I128" i="13"/>
  <c r="I128" i="33" s="1"/>
  <c r="I128" i="31"/>
  <c r="I127" i="13"/>
  <c r="I127" i="33" s="1"/>
  <c r="I127" i="31"/>
  <c r="I126" i="13"/>
  <c r="I126" i="33" s="1"/>
  <c r="I126" i="31"/>
  <c r="I121" i="13"/>
  <c r="I121" i="33" s="1"/>
  <c r="I121" i="31"/>
  <c r="I120" i="13"/>
  <c r="I120" i="33" s="1"/>
  <c r="I120" i="31"/>
  <c r="I119" i="13"/>
  <c r="I119" i="33" s="1"/>
  <c r="I119" i="31"/>
  <c r="I118" i="13"/>
  <c r="I118" i="33" s="1"/>
  <c r="I118" i="31"/>
  <c r="I116" i="13"/>
  <c r="I116" i="33" s="1"/>
  <c r="I116" i="31"/>
  <c r="I115" i="13"/>
  <c r="I115" i="33" s="1"/>
  <c r="I115" i="31"/>
  <c r="I112" i="13"/>
  <c r="I112" i="33" s="1"/>
  <c r="I112" i="31"/>
  <c r="I111" i="13"/>
  <c r="I111" i="33" s="1"/>
  <c r="I111" i="31"/>
  <c r="I110" i="13"/>
  <c r="I110" i="33" s="1"/>
  <c r="I110" i="31"/>
  <c r="I108" i="13"/>
  <c r="I108" i="33" s="1"/>
  <c r="I108" i="31"/>
  <c r="I107" i="13"/>
  <c r="I107" i="33" s="1"/>
  <c r="I107" i="31"/>
  <c r="I106" i="13"/>
  <c r="I106" i="33" s="1"/>
  <c r="I106" i="31"/>
  <c r="I105" i="13"/>
  <c r="I105" i="33" s="1"/>
  <c r="I105" i="31"/>
  <c r="I104" i="13"/>
  <c r="I104" i="33" s="1"/>
  <c r="I104" i="31"/>
  <c r="I103" i="13"/>
  <c r="I103" i="33" s="1"/>
  <c r="I103" i="31"/>
  <c r="I102" i="13"/>
  <c r="I102" i="33" s="1"/>
  <c r="I102" i="31"/>
  <c r="I100" i="13"/>
  <c r="I100" i="33" s="1"/>
  <c r="I100" i="31"/>
  <c r="I99" i="13"/>
  <c r="I99" i="33" s="1"/>
  <c r="I99" i="31"/>
  <c r="I98" i="13"/>
  <c r="I98" i="33" s="1"/>
  <c r="I98" i="31"/>
  <c r="J93" i="13"/>
  <c r="J93" i="33" s="1"/>
  <c r="J93" i="31"/>
  <c r="J92" i="13"/>
  <c r="J92" i="33" s="1"/>
  <c r="J92" i="31"/>
  <c r="J91" i="13"/>
  <c r="J91" i="33" s="1"/>
  <c r="J91" i="31"/>
  <c r="J89" i="13"/>
  <c r="J89" i="33" s="1"/>
  <c r="J89" i="31"/>
  <c r="J86" i="13"/>
  <c r="J86" i="33" s="1"/>
  <c r="J86" i="31"/>
  <c r="J85" i="13"/>
  <c r="J85" i="33" s="1"/>
  <c r="J85" i="31"/>
  <c r="J84" i="13"/>
  <c r="J84" i="33" s="1"/>
  <c r="J84" i="31"/>
  <c r="J83" i="13"/>
  <c r="J83" i="33" s="1"/>
  <c r="J83" i="31"/>
  <c r="J82" i="13"/>
  <c r="J82" i="33" s="1"/>
  <c r="J82" i="31"/>
  <c r="J81" i="13"/>
  <c r="J81" i="33" s="1"/>
  <c r="J81" i="31"/>
  <c r="J80" i="13"/>
  <c r="J80" i="33" s="1"/>
  <c r="J80" i="31"/>
  <c r="J79" i="13"/>
  <c r="J79" i="33" s="1"/>
  <c r="J79" i="31"/>
  <c r="J77" i="13"/>
  <c r="J77" i="33" s="1"/>
  <c r="J77" i="31"/>
  <c r="J76" i="13"/>
  <c r="J76" i="33" s="1"/>
  <c r="J76" i="31"/>
  <c r="J75" i="13"/>
  <c r="J75" i="33" s="1"/>
  <c r="J75" i="31"/>
  <c r="J74" i="13"/>
  <c r="J74" i="33" s="1"/>
  <c r="J74" i="31"/>
  <c r="J72" i="13"/>
  <c r="J72" i="33" s="1"/>
  <c r="J72" i="31"/>
  <c r="I70" i="13"/>
  <c r="I70" i="33" s="1"/>
  <c r="I70" i="31"/>
  <c r="I69" i="13"/>
  <c r="I69" i="33" s="1"/>
  <c r="I69" i="31"/>
  <c r="I68" i="13"/>
  <c r="I68" i="33" s="1"/>
  <c r="I68" i="31"/>
  <c r="I67" i="13"/>
  <c r="I67" i="33" s="1"/>
  <c r="I67" i="31"/>
  <c r="I65" i="13"/>
  <c r="I65" i="33" s="1"/>
  <c r="I65" i="31"/>
  <c r="J64" i="13"/>
  <c r="J64" i="33" s="1"/>
  <c r="J64" i="31"/>
  <c r="J63" i="13"/>
  <c r="J63" i="33" s="1"/>
  <c r="J63" i="31"/>
  <c r="J62" i="13"/>
  <c r="J62" i="33" s="1"/>
  <c r="J62" i="31"/>
  <c r="J61" i="13"/>
  <c r="J61" i="33" s="1"/>
  <c r="J61" i="31"/>
  <c r="J60" i="13"/>
  <c r="J60" i="33" s="1"/>
  <c r="J60" i="31"/>
  <c r="J58" i="13"/>
  <c r="J58" i="33" s="1"/>
  <c r="J58" i="31"/>
  <c r="J57" i="13"/>
  <c r="J57" i="33" s="1"/>
  <c r="J57" i="31"/>
  <c r="J56" i="13"/>
  <c r="J56" i="33" s="1"/>
  <c r="J56" i="31"/>
  <c r="J54" i="13"/>
  <c r="J54" i="33" s="1"/>
  <c r="J54" i="31"/>
  <c r="J53" i="13"/>
  <c r="J53" i="33" s="1"/>
  <c r="J53" i="31"/>
  <c r="J52" i="13"/>
  <c r="J52" i="33" s="1"/>
  <c r="J52" i="31"/>
  <c r="J48" i="13"/>
  <c r="J48" i="33" s="1"/>
  <c r="J48" i="31"/>
  <c r="K46" i="13"/>
  <c r="K46" i="31"/>
  <c r="J45" i="13"/>
  <c r="J45" i="33" s="1"/>
  <c r="J45" i="31"/>
  <c r="H43" i="13"/>
  <c r="H43" i="33" s="1"/>
  <c r="H43" i="31"/>
  <c r="H42" i="13"/>
  <c r="H42" i="33" s="1"/>
  <c r="H42" i="31"/>
  <c r="H37" i="13"/>
  <c r="H37" i="33" s="1"/>
  <c r="H37" i="31"/>
  <c r="H36" i="13"/>
  <c r="H36" i="33" s="1"/>
  <c r="H36" i="31"/>
  <c r="H35" i="13"/>
  <c r="H35" i="33" s="1"/>
  <c r="H35" i="31"/>
  <c r="H34" i="13"/>
  <c r="H34" i="33" s="1"/>
  <c r="H34" i="31"/>
  <c r="H33" i="13"/>
  <c r="H33" i="33" s="1"/>
  <c r="H33" i="31"/>
  <c r="H32" i="13"/>
  <c r="H32" i="33" s="1"/>
  <c r="H32" i="31"/>
  <c r="H30" i="13"/>
  <c r="H30" i="33" s="1"/>
  <c r="H30" i="31"/>
  <c r="H29" i="13"/>
  <c r="H29" i="33" s="1"/>
  <c r="H29" i="31"/>
  <c r="H28" i="13"/>
  <c r="H28" i="33" s="1"/>
  <c r="H28" i="31"/>
  <c r="H27" i="13"/>
  <c r="H27" i="33" s="1"/>
  <c r="H27" i="31"/>
  <c r="H26" i="13"/>
  <c r="H26" i="33" s="1"/>
  <c r="H26" i="31"/>
  <c r="H24" i="13"/>
  <c r="H24" i="33" s="1"/>
  <c r="H24" i="31"/>
  <c r="H22" i="13"/>
  <c r="H22" i="33" s="1"/>
  <c r="H22" i="31"/>
  <c r="I21" i="13"/>
  <c r="I21" i="33" s="1"/>
  <c r="I21" i="31"/>
  <c r="I20" i="13"/>
  <c r="I20" i="33" s="1"/>
  <c r="I20" i="31"/>
  <c r="I19" i="13"/>
  <c r="I19" i="33" s="1"/>
  <c r="I19" i="31"/>
  <c r="I17" i="13"/>
  <c r="I17" i="33" s="1"/>
  <c r="I17" i="31"/>
  <c r="J16" i="13"/>
  <c r="J16" i="33" s="1"/>
  <c r="J16" i="31"/>
  <c r="J15" i="13"/>
  <c r="J15" i="33" s="1"/>
  <c r="J15" i="31"/>
  <c r="I14" i="13"/>
  <c r="I14" i="33" s="1"/>
  <c r="I14" i="31"/>
  <c r="I13" i="13"/>
  <c r="I13" i="33" s="1"/>
  <c r="I13" i="31"/>
  <c r="K90" i="13"/>
  <c r="K90" i="31"/>
  <c r="J90" i="13"/>
  <c r="J90" i="33" s="1"/>
  <c r="J90" i="31"/>
  <c r="I21" i="28"/>
  <c r="N149" i="28"/>
  <c r="N75" i="22"/>
  <c r="N149" i="22"/>
  <c r="N131" i="22" s="1"/>
  <c r="N75" i="26"/>
  <c r="N65" i="27"/>
  <c r="J150" i="23"/>
  <c r="H151" i="23"/>
  <c r="I96" i="28"/>
  <c r="I158" i="25"/>
  <c r="I133" i="28"/>
  <c r="I158" i="22"/>
  <c r="J131" i="22"/>
  <c r="J42" i="22" s="1"/>
  <c r="J41" i="22" s="1"/>
  <c r="J191" i="22" s="1"/>
  <c r="J194" i="22" s="1"/>
  <c r="I194" i="22" s="1"/>
  <c r="P194" i="22" s="1"/>
  <c r="I194" i="26"/>
  <c r="I28" i="28"/>
  <c r="I26" i="28" s="1"/>
  <c r="L150" i="23"/>
  <c r="I47" i="23"/>
  <c r="N11" i="27"/>
  <c r="N10" i="27" s="1"/>
  <c r="N26" i="26"/>
  <c r="N11" i="26" s="1"/>
  <c r="H50" i="23"/>
  <c r="Q50" i="23" s="1"/>
  <c r="I58" i="23"/>
  <c r="J153" i="23"/>
  <c r="L70" i="23"/>
  <c r="I66" i="23"/>
  <c r="H49" i="23"/>
  <c r="Q49" i="23" s="1"/>
  <c r="H154" i="23"/>
  <c r="I47" i="28"/>
  <c r="L65" i="23"/>
  <c r="N75" i="25"/>
  <c r="I186" i="25"/>
  <c r="H62" i="23"/>
  <c r="Q62" i="23" s="1"/>
  <c r="H152" i="23"/>
  <c r="H162" i="23"/>
  <c r="I186" i="28"/>
  <c r="L54" i="23"/>
  <c r="J70" i="23"/>
  <c r="I79" i="23"/>
  <c r="J66" i="23"/>
  <c r="N11" i="25"/>
  <c r="N10" i="25" s="1"/>
  <c r="I133" i="25"/>
  <c r="J65" i="23"/>
  <c r="N75" i="27"/>
  <c r="I183" i="28"/>
  <c r="N65" i="28"/>
  <c r="I153" i="28"/>
  <c r="K58" i="23"/>
  <c r="N75" i="28"/>
  <c r="I91" i="28"/>
  <c r="I101" i="28"/>
  <c r="I137" i="28"/>
  <c r="N11" i="22"/>
  <c r="N10" i="22" s="1"/>
  <c r="N65" i="22"/>
  <c r="N43" i="22" s="1"/>
  <c r="I121" i="23"/>
  <c r="H164" i="23"/>
  <c r="I183" i="25"/>
  <c r="I182" i="25" s="1"/>
  <c r="I28" i="25"/>
  <c r="I26" i="25" s="1"/>
  <c r="I47" i="25"/>
  <c r="I91" i="25"/>
  <c r="I101" i="25"/>
  <c r="I137" i="25"/>
  <c r="I153" i="23"/>
  <c r="K66" i="23"/>
  <c r="L58" i="23"/>
  <c r="H48" i="23"/>
  <c r="Q48" i="23" s="1"/>
  <c r="H56" i="23"/>
  <c r="Q56" i="23" s="1"/>
  <c r="H63" i="23"/>
  <c r="Q63" i="23" s="1"/>
  <c r="H72" i="23"/>
  <c r="Q72" i="23" s="1"/>
  <c r="H163" i="23"/>
  <c r="L66" i="23"/>
  <c r="H55" i="23"/>
  <c r="Q55" i="23" s="1"/>
  <c r="H61" i="23"/>
  <c r="Q61" i="23" s="1"/>
  <c r="I91" i="23"/>
  <c r="I21" i="25"/>
  <c r="H53" i="23"/>
  <c r="Q53" i="23" s="1"/>
  <c r="H60" i="23"/>
  <c r="Q60" i="23" s="1"/>
  <c r="H69" i="23"/>
  <c r="Q69" i="23" s="1"/>
  <c r="I66" i="25"/>
  <c r="N44" i="25"/>
  <c r="N65" i="25"/>
  <c r="I153" i="25"/>
  <c r="H52" i="23"/>
  <c r="Q52" i="23" s="1"/>
  <c r="H59" i="23"/>
  <c r="Q59" i="23" s="1"/>
  <c r="H68" i="23"/>
  <c r="Q68" i="23" s="1"/>
  <c r="K47" i="23"/>
  <c r="I166" i="25"/>
  <c r="H51" i="23"/>
  <c r="Q51" i="23" s="1"/>
  <c r="H67" i="23"/>
  <c r="Q67" i="23" s="1"/>
  <c r="K166" i="23"/>
  <c r="K150" i="23"/>
  <c r="L121" i="23"/>
  <c r="I96" i="26"/>
  <c r="I28" i="26"/>
  <c r="I186" i="26"/>
  <c r="N43" i="26"/>
  <c r="I183" i="26"/>
  <c r="I133" i="26"/>
  <c r="I21" i="26"/>
  <c r="I166" i="26"/>
  <c r="I137" i="26"/>
  <c r="N173" i="22"/>
  <c r="N192" i="22"/>
  <c r="N131" i="28"/>
  <c r="N132" i="28"/>
  <c r="I34" i="28"/>
  <c r="I145" i="28"/>
  <c r="I150" i="28"/>
  <c r="I149" i="28" s="1"/>
  <c r="N192" i="28"/>
  <c r="N173" i="28"/>
  <c r="I178" i="28"/>
  <c r="I177" i="28" s="1"/>
  <c r="I12" i="28"/>
  <c r="I44" i="28"/>
  <c r="I54" i="28"/>
  <c r="I79" i="28"/>
  <c r="I110" i="28"/>
  <c r="I121" i="28"/>
  <c r="I115" i="28" s="1"/>
  <c r="I70" i="28"/>
  <c r="I65" i="28" s="1"/>
  <c r="N131" i="27"/>
  <c r="N132" i="27"/>
  <c r="N192" i="27"/>
  <c r="N173" i="27"/>
  <c r="N131" i="26"/>
  <c r="N132" i="26"/>
  <c r="I34" i="26"/>
  <c r="I145" i="26"/>
  <c r="I150" i="26"/>
  <c r="N192" i="26"/>
  <c r="N173" i="26"/>
  <c r="I178" i="26"/>
  <c r="I12" i="26"/>
  <c r="I44" i="26"/>
  <c r="I54" i="26"/>
  <c r="I79" i="26"/>
  <c r="I110" i="26"/>
  <c r="I121" i="26"/>
  <c r="I70" i="26"/>
  <c r="N131" i="25"/>
  <c r="N132" i="25"/>
  <c r="I34" i="25"/>
  <c r="I145" i="25"/>
  <c r="I150" i="25"/>
  <c r="N192" i="25"/>
  <c r="N173" i="25"/>
  <c r="I178" i="25"/>
  <c r="I177" i="25" s="1"/>
  <c r="I12" i="25"/>
  <c r="I44" i="25"/>
  <c r="I54" i="25"/>
  <c r="I79" i="25"/>
  <c r="I110" i="25"/>
  <c r="I121" i="25"/>
  <c r="I115" i="25" s="1"/>
  <c r="I70" i="25"/>
  <c r="J130" i="13" l="1"/>
  <c r="J130" i="33" s="1"/>
  <c r="J130" i="31"/>
  <c r="I51" i="13"/>
  <c r="I51" i="33" s="1"/>
  <c r="I51" i="31"/>
  <c r="K52" i="5"/>
  <c r="K52" i="33"/>
  <c r="K60" i="5"/>
  <c r="K60" i="33"/>
  <c r="K77" i="5"/>
  <c r="K77" i="33"/>
  <c r="K86" i="5"/>
  <c r="K86" i="33"/>
  <c r="K26" i="5"/>
  <c r="K26" i="33"/>
  <c r="K16" i="5"/>
  <c r="K16" i="33"/>
  <c r="K144" i="5"/>
  <c r="K144" i="33"/>
  <c r="K153" i="5"/>
  <c r="K153" i="33"/>
  <c r="K130" i="5"/>
  <c r="K130" i="33"/>
  <c r="K14" i="5"/>
  <c r="K14" i="33"/>
  <c r="K65" i="5"/>
  <c r="K65" i="33"/>
  <c r="K68" i="5"/>
  <c r="K68" i="33"/>
  <c r="K70" i="5"/>
  <c r="K70" i="33"/>
  <c r="K99" i="5"/>
  <c r="K99" i="33"/>
  <c r="K102" i="5"/>
  <c r="K102" i="33"/>
  <c r="K104" i="5"/>
  <c r="K104" i="33"/>
  <c r="K106" i="5"/>
  <c r="K106" i="33"/>
  <c r="K108" i="5"/>
  <c r="K108" i="33"/>
  <c r="K111" i="5"/>
  <c r="K111" i="33"/>
  <c r="K115" i="5"/>
  <c r="K115" i="33"/>
  <c r="K118" i="5"/>
  <c r="K118" i="33"/>
  <c r="K120" i="5"/>
  <c r="K120" i="33"/>
  <c r="K126" i="5"/>
  <c r="K126" i="33"/>
  <c r="K128" i="5"/>
  <c r="K128" i="33"/>
  <c r="K132" i="5"/>
  <c r="K132" i="33"/>
  <c r="K134" i="5"/>
  <c r="K134" i="33"/>
  <c r="K136" i="5"/>
  <c r="K136" i="33"/>
  <c r="K139" i="5"/>
  <c r="K139" i="33"/>
  <c r="G22" i="33"/>
  <c r="O22" i="13"/>
  <c r="K27" i="5"/>
  <c r="K27" i="33"/>
  <c r="K32" i="5"/>
  <c r="K32" i="33"/>
  <c r="K36" i="5"/>
  <c r="K36" i="33"/>
  <c r="K148" i="5"/>
  <c r="K148" i="33"/>
  <c r="K154" i="5"/>
  <c r="K154" i="33"/>
  <c r="K117" i="5"/>
  <c r="K117" i="33"/>
  <c r="J44" i="13"/>
  <c r="J44" i="33" s="1"/>
  <c r="J44" i="31"/>
  <c r="H71" i="13"/>
  <c r="H71" i="33" s="1"/>
  <c r="H71" i="31"/>
  <c r="K49" i="13"/>
  <c r="K49" i="31"/>
  <c r="K114" i="13"/>
  <c r="K114" i="31"/>
  <c r="I131" i="22"/>
  <c r="P158" i="22"/>
  <c r="G48" i="33"/>
  <c r="O48" i="13"/>
  <c r="K75" i="5"/>
  <c r="K75" i="33"/>
  <c r="K84" i="5"/>
  <c r="K84" i="33"/>
  <c r="K93" i="5"/>
  <c r="K93" i="33"/>
  <c r="K44" i="5"/>
  <c r="K44" i="33"/>
  <c r="K35" i="5"/>
  <c r="K35" i="33"/>
  <c r="K43" i="5"/>
  <c r="K43" i="33"/>
  <c r="G17" i="33"/>
  <c r="O17" i="13"/>
  <c r="K21" i="5"/>
  <c r="K21" i="33"/>
  <c r="K45" i="13"/>
  <c r="K45" i="31"/>
  <c r="K94" i="13"/>
  <c r="K94" i="31"/>
  <c r="J50" i="13"/>
  <c r="J50" i="33" s="1"/>
  <c r="J50" i="31"/>
  <c r="G128" i="13"/>
  <c r="G128" i="31"/>
  <c r="O128" i="31" s="1"/>
  <c r="Q164" i="23"/>
  <c r="I132" i="28"/>
  <c r="J47" i="13"/>
  <c r="J47" i="33" s="1"/>
  <c r="J47" i="31"/>
  <c r="I50" i="13"/>
  <c r="I50" i="33" s="1"/>
  <c r="I50" i="31"/>
  <c r="G118" i="13"/>
  <c r="G118" i="31"/>
  <c r="O118" i="31" s="1"/>
  <c r="Q154" i="23"/>
  <c r="I117" i="13"/>
  <c r="I117" i="33" s="1"/>
  <c r="I117" i="31"/>
  <c r="K159" i="5"/>
  <c r="K159" i="33"/>
  <c r="K59" i="5"/>
  <c r="K59" i="33"/>
  <c r="K140" i="5"/>
  <c r="K140" i="33"/>
  <c r="K151" i="5"/>
  <c r="K151" i="33"/>
  <c r="K48" i="5"/>
  <c r="K48" i="33"/>
  <c r="K53" i="5"/>
  <c r="K53" i="33"/>
  <c r="K56" i="5"/>
  <c r="K56" i="33"/>
  <c r="K58" i="5"/>
  <c r="K58" i="33"/>
  <c r="K61" i="5"/>
  <c r="K61" i="33"/>
  <c r="K63" i="5"/>
  <c r="K63" i="33"/>
  <c r="K74" i="5"/>
  <c r="K74" i="33"/>
  <c r="K76" i="5"/>
  <c r="K76" i="33"/>
  <c r="K79" i="5"/>
  <c r="K79" i="33"/>
  <c r="K81" i="5"/>
  <c r="K81" i="33"/>
  <c r="K83" i="5"/>
  <c r="K83" i="33"/>
  <c r="K85" i="5"/>
  <c r="K85" i="33"/>
  <c r="K89" i="5"/>
  <c r="K89" i="33"/>
  <c r="K92" i="5"/>
  <c r="K92" i="33"/>
  <c r="K22" i="5"/>
  <c r="K22" i="33"/>
  <c r="K28" i="5"/>
  <c r="K28" i="33"/>
  <c r="K33" i="5"/>
  <c r="K33" i="33"/>
  <c r="K37" i="5"/>
  <c r="K37" i="33"/>
  <c r="K17" i="5"/>
  <c r="K17" i="33"/>
  <c r="K20" i="5"/>
  <c r="K20" i="33"/>
  <c r="O162" i="33"/>
  <c r="O162" i="5"/>
  <c r="G127" i="13"/>
  <c r="G127" i="31"/>
  <c r="O127" i="31" s="1"/>
  <c r="Q163" i="23"/>
  <c r="G116" i="13"/>
  <c r="G116" i="31"/>
  <c r="O116" i="31" s="1"/>
  <c r="Q152" i="23"/>
  <c r="H50" i="13"/>
  <c r="H50" i="33" s="1"/>
  <c r="H50" i="31"/>
  <c r="G115" i="13"/>
  <c r="G115" i="31"/>
  <c r="O115" i="31" s="1"/>
  <c r="Q151" i="23"/>
  <c r="G159" i="33"/>
  <c r="O160" i="13"/>
  <c r="K87" i="5"/>
  <c r="K87" i="33"/>
  <c r="K145" i="5"/>
  <c r="K145" i="33"/>
  <c r="K54" i="5"/>
  <c r="K54" i="33"/>
  <c r="K57" i="5"/>
  <c r="K57" i="33"/>
  <c r="K62" i="5"/>
  <c r="K62" i="33"/>
  <c r="K64" i="5"/>
  <c r="K64" i="33"/>
  <c r="K72" i="5"/>
  <c r="K72" i="33"/>
  <c r="K80" i="5"/>
  <c r="K80" i="33"/>
  <c r="K82" i="5"/>
  <c r="K82" i="33"/>
  <c r="K91" i="5"/>
  <c r="K91" i="33"/>
  <c r="K30" i="5"/>
  <c r="K30" i="33"/>
  <c r="K19" i="5"/>
  <c r="K19" i="33"/>
  <c r="K47" i="13"/>
  <c r="K47" i="31"/>
  <c r="K51" i="13"/>
  <c r="K51" i="31"/>
  <c r="I114" i="13"/>
  <c r="I114" i="33" s="1"/>
  <c r="I114" i="31"/>
  <c r="K46" i="5"/>
  <c r="K46" i="33"/>
  <c r="J114" i="13"/>
  <c r="J114" i="33" s="1"/>
  <c r="J114" i="31"/>
  <c r="K50" i="13"/>
  <c r="K50" i="31"/>
  <c r="H117" i="13"/>
  <c r="H117" i="33" s="1"/>
  <c r="H117" i="31"/>
  <c r="H94" i="13"/>
  <c r="H94" i="33" s="1"/>
  <c r="H94" i="31"/>
  <c r="I49" i="13"/>
  <c r="I49" i="33" s="1"/>
  <c r="I49" i="31"/>
  <c r="H59" i="13"/>
  <c r="H59" i="33" s="1"/>
  <c r="H59" i="31"/>
  <c r="G126" i="13"/>
  <c r="G126" i="31"/>
  <c r="O126" i="31" s="1"/>
  <c r="Q162" i="23"/>
  <c r="H47" i="13"/>
  <c r="H47" i="33" s="1"/>
  <c r="H47" i="31"/>
  <c r="H44" i="13"/>
  <c r="H44" i="33" s="1"/>
  <c r="H44" i="31"/>
  <c r="K15" i="5"/>
  <c r="K15" i="33"/>
  <c r="G140" i="33"/>
  <c r="O140" i="13"/>
  <c r="K149" i="5"/>
  <c r="K149" i="33"/>
  <c r="K71" i="5"/>
  <c r="K71" i="33"/>
  <c r="K13" i="5"/>
  <c r="K13" i="33"/>
  <c r="G65" i="33"/>
  <c r="O65" i="13"/>
  <c r="K67" i="5"/>
  <c r="K67" i="33"/>
  <c r="K69" i="5"/>
  <c r="K69" i="33"/>
  <c r="K98" i="5"/>
  <c r="K98" i="33"/>
  <c r="K100" i="5"/>
  <c r="K100" i="33"/>
  <c r="K103" i="5"/>
  <c r="K103" i="33"/>
  <c r="K105" i="5"/>
  <c r="K105" i="33"/>
  <c r="K107" i="5"/>
  <c r="K107" i="33"/>
  <c r="K110" i="5"/>
  <c r="K110" i="33"/>
  <c r="K112" i="5"/>
  <c r="K112" i="33"/>
  <c r="K116" i="5"/>
  <c r="K116" i="33"/>
  <c r="K119" i="5"/>
  <c r="K119" i="33"/>
  <c r="K121" i="5"/>
  <c r="K121" i="33"/>
  <c r="K127" i="5"/>
  <c r="K127" i="33"/>
  <c r="K131" i="5"/>
  <c r="K131" i="33"/>
  <c r="K133" i="5"/>
  <c r="K133" i="33"/>
  <c r="K135" i="5"/>
  <c r="K135" i="33"/>
  <c r="K138" i="5"/>
  <c r="K160" i="5" s="1"/>
  <c r="K138" i="33"/>
  <c r="K160" i="33" s="1"/>
  <c r="K24" i="5"/>
  <c r="K24" i="33"/>
  <c r="K29" i="5"/>
  <c r="K29" i="33"/>
  <c r="K34" i="5"/>
  <c r="K34" i="33"/>
  <c r="K42" i="5"/>
  <c r="K42" i="33"/>
  <c r="K143" i="5"/>
  <c r="K143" i="33"/>
  <c r="K152" i="5"/>
  <c r="K152" i="33"/>
  <c r="K90" i="5"/>
  <c r="K90" i="33"/>
  <c r="N43" i="28"/>
  <c r="I182" i="28"/>
  <c r="I11" i="25"/>
  <c r="I10" i="25" s="1"/>
  <c r="I132" i="25"/>
  <c r="I131" i="28"/>
  <c r="I11" i="28"/>
  <c r="I10" i="28" s="1"/>
  <c r="I65" i="25"/>
  <c r="N43" i="27"/>
  <c r="I75" i="25"/>
  <c r="K65" i="23"/>
  <c r="N43" i="25"/>
  <c r="I65" i="23"/>
  <c r="I149" i="25"/>
  <c r="I182" i="26"/>
  <c r="I26" i="26"/>
  <c r="N10" i="26"/>
  <c r="L10" i="13" s="1"/>
  <c r="I149" i="26"/>
  <c r="I177" i="26"/>
  <c r="I132" i="26"/>
  <c r="I115" i="26"/>
  <c r="N193" i="22"/>
  <c r="N165" i="22"/>
  <c r="N42" i="22" s="1"/>
  <c r="N41" i="22" s="1"/>
  <c r="N191" i="22" s="1"/>
  <c r="N193" i="28"/>
  <c r="N165" i="28"/>
  <c r="I75" i="28"/>
  <c r="I43" i="28" s="1"/>
  <c r="I173" i="28"/>
  <c r="I165" i="28" s="1"/>
  <c r="N193" i="27"/>
  <c r="N165" i="27"/>
  <c r="N193" i="26"/>
  <c r="N165" i="26"/>
  <c r="I75" i="26"/>
  <c r="N193" i="25"/>
  <c r="N165" i="25"/>
  <c r="I173" i="25"/>
  <c r="I165" i="25" s="1"/>
  <c r="K50" i="5" l="1"/>
  <c r="K50" i="33"/>
  <c r="K45" i="5"/>
  <c r="K45" i="33"/>
  <c r="K49" i="5"/>
  <c r="K49" i="33"/>
  <c r="G127" i="33"/>
  <c r="O127" i="13"/>
  <c r="J49" i="13"/>
  <c r="J49" i="33" s="1"/>
  <c r="J49" i="31"/>
  <c r="O140" i="33"/>
  <c r="O140" i="5"/>
  <c r="K51" i="5"/>
  <c r="K51" i="33"/>
  <c r="G116" i="33"/>
  <c r="O116" i="13"/>
  <c r="I42" i="22"/>
  <c r="P131" i="22"/>
  <c r="O48" i="33"/>
  <c r="O48" i="5"/>
  <c r="O22" i="33"/>
  <c r="O22" i="5"/>
  <c r="O160" i="33"/>
  <c r="O160" i="5"/>
  <c r="G115" i="33"/>
  <c r="O115" i="13"/>
  <c r="O17" i="33"/>
  <c r="O17" i="5"/>
  <c r="O65" i="33"/>
  <c r="O65" i="5"/>
  <c r="L10" i="5"/>
  <c r="H10" i="4" s="1"/>
  <c r="L10" i="33"/>
  <c r="H49" i="13"/>
  <c r="H49" i="33" s="1"/>
  <c r="H49" i="31"/>
  <c r="G126" i="33"/>
  <c r="O126" i="13"/>
  <c r="K47" i="5"/>
  <c r="K47" i="33"/>
  <c r="G118" i="33"/>
  <c r="O118" i="13"/>
  <c r="G128" i="33"/>
  <c r="O128" i="13"/>
  <c r="K94" i="5"/>
  <c r="K94" i="33"/>
  <c r="K114" i="5"/>
  <c r="K114" i="33"/>
  <c r="N42" i="28"/>
  <c r="N41" i="28" s="1"/>
  <c r="N191" i="28" s="1"/>
  <c r="I43" i="25"/>
  <c r="N42" i="27"/>
  <c r="N41" i="27" s="1"/>
  <c r="N191" i="27" s="1"/>
  <c r="N194" i="27" s="1"/>
  <c r="I42" i="28"/>
  <c r="I41" i="28" s="1"/>
  <c r="I191" i="28" s="1"/>
  <c r="N194" i="22"/>
  <c r="N42" i="25"/>
  <c r="N41" i="25" s="1"/>
  <c r="N191" i="25" s="1"/>
  <c r="N194" i="25" s="1"/>
  <c r="I11" i="26"/>
  <c r="I10" i="26" s="1"/>
  <c r="I173" i="26"/>
  <c r="N42" i="26"/>
  <c r="I43" i="26"/>
  <c r="N194" i="28"/>
  <c r="G194" i="21"/>
  <c r="H190" i="23"/>
  <c r="H189" i="23"/>
  <c r="H187" i="23"/>
  <c r="L186" i="23"/>
  <c r="K186" i="23"/>
  <c r="J186" i="23"/>
  <c r="I186" i="23"/>
  <c r="H185" i="23"/>
  <c r="L183" i="23"/>
  <c r="K183" i="23"/>
  <c r="L182" i="23"/>
  <c r="K182" i="23"/>
  <c r="H181" i="23"/>
  <c r="H180" i="23"/>
  <c r="G178" i="21"/>
  <c r="G179" i="21" s="1"/>
  <c r="G180" i="21" s="1"/>
  <c r="G181" i="21" s="1"/>
  <c r="G182" i="21" s="1"/>
  <c r="G183" i="21" s="1"/>
  <c r="G184" i="21" s="1"/>
  <c r="G185" i="21" s="1"/>
  <c r="G186" i="21" s="1"/>
  <c r="G187" i="21" s="1"/>
  <c r="G188" i="21" s="1"/>
  <c r="G189" i="21" s="1"/>
  <c r="G190" i="21" s="1"/>
  <c r="G191" i="21" s="1"/>
  <c r="H175" i="23"/>
  <c r="H174" i="23"/>
  <c r="H172" i="23"/>
  <c r="H171" i="23"/>
  <c r="H170" i="23"/>
  <c r="H169" i="23"/>
  <c r="H167" i="23"/>
  <c r="H157" i="23"/>
  <c r="H156" i="23"/>
  <c r="H155" i="23"/>
  <c r="H153" i="23"/>
  <c r="H150" i="23"/>
  <c r="L149" i="23"/>
  <c r="K149" i="23"/>
  <c r="J149" i="23"/>
  <c r="I149" i="23"/>
  <c r="H148" i="23"/>
  <c r="H147" i="23"/>
  <c r="H146" i="23"/>
  <c r="L145" i="23"/>
  <c r="K145" i="23"/>
  <c r="J145" i="23"/>
  <c r="I145" i="23"/>
  <c r="H144" i="23"/>
  <c r="H142" i="23"/>
  <c r="H141" i="23"/>
  <c r="H140" i="23"/>
  <c r="H139" i="23"/>
  <c r="H138" i="23"/>
  <c r="L137" i="23"/>
  <c r="J137" i="23"/>
  <c r="I137" i="23"/>
  <c r="H136" i="23"/>
  <c r="H135" i="23"/>
  <c r="H134" i="23"/>
  <c r="L133" i="23"/>
  <c r="K133" i="23"/>
  <c r="H121" i="23"/>
  <c r="H120" i="23"/>
  <c r="H119" i="23"/>
  <c r="H118" i="23"/>
  <c r="H117" i="23"/>
  <c r="H116" i="23"/>
  <c r="L115" i="23"/>
  <c r="K115" i="23"/>
  <c r="J115" i="23"/>
  <c r="I115" i="23"/>
  <c r="H110" i="23"/>
  <c r="F110" i="21"/>
  <c r="H109" i="23"/>
  <c r="H108" i="23"/>
  <c r="H107" i="23"/>
  <c r="H106" i="23"/>
  <c r="H105" i="23"/>
  <c r="H104" i="23"/>
  <c r="H103" i="23"/>
  <c r="H102" i="23"/>
  <c r="K101" i="23"/>
  <c r="J101" i="23"/>
  <c r="I101" i="23"/>
  <c r="H100" i="23"/>
  <c r="H99" i="23"/>
  <c r="H97" i="23"/>
  <c r="L96" i="23"/>
  <c r="K96" i="23"/>
  <c r="J96" i="23"/>
  <c r="I96" i="23"/>
  <c r="H95" i="23"/>
  <c r="H91" i="23"/>
  <c r="H90" i="23"/>
  <c r="H89" i="23"/>
  <c r="H88" i="23"/>
  <c r="H87" i="23"/>
  <c r="L86" i="23"/>
  <c r="K86" i="23"/>
  <c r="I86" i="23"/>
  <c r="H84" i="23"/>
  <c r="H83" i="23"/>
  <c r="H82" i="23"/>
  <c r="H81" i="23"/>
  <c r="H78" i="23"/>
  <c r="H77" i="23"/>
  <c r="H76" i="23"/>
  <c r="H74" i="23"/>
  <c r="H73" i="23"/>
  <c r="H71" i="23"/>
  <c r="H70" i="23"/>
  <c r="H58" i="23"/>
  <c r="H57" i="23"/>
  <c r="H54" i="23"/>
  <c r="H47" i="23"/>
  <c r="H46" i="23"/>
  <c r="H45" i="23"/>
  <c r="L44" i="23"/>
  <c r="K44" i="23"/>
  <c r="J44" i="23"/>
  <c r="I44" i="23"/>
  <c r="H40" i="23"/>
  <c r="H39" i="23"/>
  <c r="H38" i="23"/>
  <c r="H37" i="23"/>
  <c r="H36" i="23"/>
  <c r="H35" i="23"/>
  <c r="L34" i="23"/>
  <c r="K34" i="23"/>
  <c r="J34" i="23"/>
  <c r="I34" i="23"/>
  <c r="H33" i="23"/>
  <c r="H32" i="23"/>
  <c r="H31" i="23"/>
  <c r="H30" i="23"/>
  <c r="L28" i="23"/>
  <c r="I28" i="23"/>
  <c r="H27" i="23"/>
  <c r="H24" i="23"/>
  <c r="H23" i="23"/>
  <c r="H22" i="23"/>
  <c r="L21" i="23"/>
  <c r="K21" i="23"/>
  <c r="J21" i="23"/>
  <c r="I21" i="23"/>
  <c r="H19" i="23"/>
  <c r="H18" i="23"/>
  <c r="H14" i="23"/>
  <c r="H13" i="23"/>
  <c r="L12" i="23"/>
  <c r="K12" i="23"/>
  <c r="J12" i="23"/>
  <c r="I12" i="23"/>
  <c r="G11" i="21"/>
  <c r="G12" i="21" s="1"/>
  <c r="G13" i="21" s="1"/>
  <c r="G14" i="21" s="1"/>
  <c r="G18" i="21" s="1"/>
  <c r="G19" i="21" s="1"/>
  <c r="G20" i="21" s="1"/>
  <c r="G21" i="21" s="1"/>
  <c r="G22" i="21" s="1"/>
  <c r="G23" i="21" s="1"/>
  <c r="G24" i="21" s="1"/>
  <c r="G25" i="21" s="1"/>
  <c r="G26" i="21" s="1"/>
  <c r="G27" i="21" s="1"/>
  <c r="G28" i="21" s="1"/>
  <c r="G29" i="21" s="1"/>
  <c r="G30" i="21" s="1"/>
  <c r="G31" i="21" s="1"/>
  <c r="G32" i="21" s="1"/>
  <c r="G33" i="21" s="1"/>
  <c r="G34" i="21" s="1"/>
  <c r="G35" i="21" s="1"/>
  <c r="G36" i="21" s="1"/>
  <c r="G37" i="21" s="1"/>
  <c r="G38" i="21" s="1"/>
  <c r="G39" i="21" s="1"/>
  <c r="G40" i="21" s="1"/>
  <c r="G41" i="21" s="1"/>
  <c r="G42" i="21" s="1"/>
  <c r="G43" i="21" s="1"/>
  <c r="G44" i="21" s="1"/>
  <c r="G45" i="21" s="1"/>
  <c r="G46" i="21" s="1"/>
  <c r="G47" i="21" s="1"/>
  <c r="G54" i="21" s="1"/>
  <c r="G57" i="21" s="1"/>
  <c r="G58" i="21" s="1"/>
  <c r="G64" i="21" s="1"/>
  <c r="G65" i="21" s="1"/>
  <c r="G66" i="21" s="1"/>
  <c r="G70" i="21" s="1"/>
  <c r="G71" i="21" s="1"/>
  <c r="G73" i="21" s="1"/>
  <c r="G74" i="21" s="1"/>
  <c r="G75" i="21" s="1"/>
  <c r="G76" i="21" s="1"/>
  <c r="G77" i="21" s="1"/>
  <c r="G78" i="21" s="1"/>
  <c r="G79" i="21" s="1"/>
  <c r="G80" i="21" s="1"/>
  <c r="G81" i="21" s="1"/>
  <c r="G82" i="21" s="1"/>
  <c r="G83" i="21" s="1"/>
  <c r="G84" i="21" s="1"/>
  <c r="G85" i="21" s="1"/>
  <c r="G86" i="21" s="1"/>
  <c r="G87" i="21" s="1"/>
  <c r="G88" i="21" s="1"/>
  <c r="G89" i="21" s="1"/>
  <c r="G90" i="21" s="1"/>
  <c r="G91" i="21" s="1"/>
  <c r="G95" i="21" s="1"/>
  <c r="G96" i="21" s="1"/>
  <c r="G97" i="21" s="1"/>
  <c r="G98" i="21" s="1"/>
  <c r="G99" i="21" s="1"/>
  <c r="G100" i="21" s="1"/>
  <c r="G101" i="21" s="1"/>
  <c r="G102" i="21" s="1"/>
  <c r="G103" i="21" s="1"/>
  <c r="G104" i="21" s="1"/>
  <c r="G105" i="21" s="1"/>
  <c r="G106" i="21" s="1"/>
  <c r="G107" i="21" s="1"/>
  <c r="G108" i="21" s="1"/>
  <c r="G109" i="21" s="1"/>
  <c r="G110" i="21" s="1"/>
  <c r="G115" i="21" s="1"/>
  <c r="G116" i="21" s="1"/>
  <c r="G117" i="21" s="1"/>
  <c r="G118" i="21" s="1"/>
  <c r="G119" i="21" s="1"/>
  <c r="G120" i="21" s="1"/>
  <c r="G121" i="21" s="1"/>
  <c r="G131" i="21" s="1"/>
  <c r="G132" i="21" s="1"/>
  <c r="G133" i="21" s="1"/>
  <c r="G134" i="21" s="1"/>
  <c r="G135" i="21" s="1"/>
  <c r="G136" i="21" s="1"/>
  <c r="G137" i="21" s="1"/>
  <c r="G138" i="21" s="1"/>
  <c r="G139" i="21" s="1"/>
  <c r="G140" i="21" s="1"/>
  <c r="G141" i="21" s="1"/>
  <c r="G142" i="21" s="1"/>
  <c r="G143" i="21" s="1"/>
  <c r="G144" i="21" s="1"/>
  <c r="G145" i="21" s="1"/>
  <c r="G146" i="21" s="1"/>
  <c r="G147" i="21" s="1"/>
  <c r="G148" i="21" s="1"/>
  <c r="G149" i="21" s="1"/>
  <c r="G150" i="21" s="1"/>
  <c r="G151" i="21" s="1"/>
  <c r="G152" i="21" s="1"/>
  <c r="G153" i="21" s="1"/>
  <c r="G154" i="21" s="1"/>
  <c r="G155" i="21" s="1"/>
  <c r="G156" i="21" s="1"/>
  <c r="G157" i="21" s="1"/>
  <c r="G158" i="21" s="1"/>
  <c r="G159" i="21" s="1"/>
  <c r="G160" i="21" s="1"/>
  <c r="G161" i="21" s="1"/>
  <c r="G162" i="21" s="1"/>
  <c r="G163" i="21" s="1"/>
  <c r="G164" i="21" s="1"/>
  <c r="G165" i="21" s="1"/>
  <c r="G166" i="21" s="1"/>
  <c r="G167" i="21" s="1"/>
  <c r="G168" i="21" s="1"/>
  <c r="G169" i="21" s="1"/>
  <c r="G170" i="21" s="1"/>
  <c r="G171" i="21" s="1"/>
  <c r="G172" i="21" s="1"/>
  <c r="G173" i="21" s="1"/>
  <c r="G174" i="21" s="1"/>
  <c r="G175" i="21" s="1"/>
  <c r="G194" i="23"/>
  <c r="G178" i="23"/>
  <c r="G179" i="23" s="1"/>
  <c r="G180" i="23" s="1"/>
  <c r="G181" i="23" s="1"/>
  <c r="G182" i="23" s="1"/>
  <c r="G183" i="23" s="1"/>
  <c r="G184" i="23" s="1"/>
  <c r="G185" i="23" s="1"/>
  <c r="G186" i="23" s="1"/>
  <c r="G187" i="23" s="1"/>
  <c r="G188" i="23" s="1"/>
  <c r="G189" i="23" s="1"/>
  <c r="G190" i="23" s="1"/>
  <c r="G191" i="23" s="1"/>
  <c r="F110" i="23"/>
  <c r="G11" i="23"/>
  <c r="G12" i="23" s="1"/>
  <c r="G13" i="23" s="1"/>
  <c r="G14" i="23" s="1"/>
  <c r="G18" i="23" s="1"/>
  <c r="G19" i="23" s="1"/>
  <c r="G20" i="23" s="1"/>
  <c r="G21" i="23" s="1"/>
  <c r="G22" i="23" s="1"/>
  <c r="G23" i="23" s="1"/>
  <c r="G24" i="23" s="1"/>
  <c r="G25" i="23" s="1"/>
  <c r="G26" i="23" s="1"/>
  <c r="G27" i="23" s="1"/>
  <c r="G28" i="23" s="1"/>
  <c r="G29" i="23" s="1"/>
  <c r="G30" i="23" s="1"/>
  <c r="G31" i="23" s="1"/>
  <c r="G32" i="23" s="1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G47" i="23" s="1"/>
  <c r="G54" i="23" s="1"/>
  <c r="G57" i="23" s="1"/>
  <c r="G58" i="23" s="1"/>
  <c r="G64" i="23" s="1"/>
  <c r="G65" i="23" s="1"/>
  <c r="G66" i="23" s="1"/>
  <c r="G70" i="23" s="1"/>
  <c r="G71" i="23" s="1"/>
  <c r="G73" i="23" s="1"/>
  <c r="G74" i="23" s="1"/>
  <c r="G75" i="23" s="1"/>
  <c r="G76" i="23" s="1"/>
  <c r="G77" i="23" s="1"/>
  <c r="G78" i="23" s="1"/>
  <c r="G79" i="23" s="1"/>
  <c r="G80" i="23" s="1"/>
  <c r="G81" i="23" s="1"/>
  <c r="G82" i="23" s="1"/>
  <c r="G83" i="23" s="1"/>
  <c r="G84" i="23" s="1"/>
  <c r="G85" i="23" s="1"/>
  <c r="G86" i="23" s="1"/>
  <c r="G87" i="23" s="1"/>
  <c r="G88" i="23" s="1"/>
  <c r="G89" i="23" s="1"/>
  <c r="G90" i="23" s="1"/>
  <c r="G91" i="23" s="1"/>
  <c r="G95" i="23" s="1"/>
  <c r="G96" i="23" s="1"/>
  <c r="G97" i="23" s="1"/>
  <c r="G98" i="23" s="1"/>
  <c r="G99" i="23" s="1"/>
  <c r="G100" i="23" s="1"/>
  <c r="G101" i="23" s="1"/>
  <c r="G102" i="23" s="1"/>
  <c r="G103" i="23" s="1"/>
  <c r="G104" i="23" s="1"/>
  <c r="G105" i="23" s="1"/>
  <c r="G106" i="23" s="1"/>
  <c r="G107" i="23" s="1"/>
  <c r="G108" i="23" s="1"/>
  <c r="G109" i="23" s="1"/>
  <c r="G110" i="23" s="1"/>
  <c r="G115" i="23" s="1"/>
  <c r="G116" i="23" s="1"/>
  <c r="G117" i="23" s="1"/>
  <c r="G118" i="23" s="1"/>
  <c r="G119" i="23" s="1"/>
  <c r="G120" i="23" s="1"/>
  <c r="G121" i="23" s="1"/>
  <c r="G131" i="23" s="1"/>
  <c r="G132" i="23" s="1"/>
  <c r="G133" i="23" s="1"/>
  <c r="G134" i="23" s="1"/>
  <c r="G135" i="23" s="1"/>
  <c r="G136" i="23" s="1"/>
  <c r="G137" i="23" s="1"/>
  <c r="G138" i="23" s="1"/>
  <c r="G139" i="23" s="1"/>
  <c r="G140" i="23" s="1"/>
  <c r="G141" i="23" s="1"/>
  <c r="G142" i="23" s="1"/>
  <c r="G143" i="23" s="1"/>
  <c r="G144" i="23" s="1"/>
  <c r="G145" i="23" s="1"/>
  <c r="G146" i="23" s="1"/>
  <c r="G147" i="23" s="1"/>
  <c r="G148" i="23" s="1"/>
  <c r="G149" i="23" s="1"/>
  <c r="G150" i="23" s="1"/>
  <c r="G151" i="23" s="1"/>
  <c r="G152" i="23" s="1"/>
  <c r="G153" i="23" s="1"/>
  <c r="G154" i="23" s="1"/>
  <c r="G155" i="23" s="1"/>
  <c r="G156" i="23" s="1"/>
  <c r="G157" i="23" s="1"/>
  <c r="G158" i="23" s="1"/>
  <c r="G159" i="23" s="1"/>
  <c r="G160" i="23" s="1"/>
  <c r="G161" i="23" s="1"/>
  <c r="G162" i="23" s="1"/>
  <c r="G163" i="23" s="1"/>
  <c r="G164" i="23" s="1"/>
  <c r="G165" i="23" s="1"/>
  <c r="G166" i="23" s="1"/>
  <c r="G167" i="23" s="1"/>
  <c r="G168" i="23" s="1"/>
  <c r="G169" i="23" s="1"/>
  <c r="G170" i="23" s="1"/>
  <c r="G171" i="23" s="1"/>
  <c r="G172" i="23" s="1"/>
  <c r="G173" i="23" s="1"/>
  <c r="G174" i="23" s="1"/>
  <c r="G175" i="23" s="1"/>
  <c r="H12" i="13" l="1"/>
  <c r="H12" i="33" s="1"/>
  <c r="H12" i="31"/>
  <c r="H18" i="13"/>
  <c r="H18" i="33" s="1"/>
  <c r="H18" i="31"/>
  <c r="H25" i="13"/>
  <c r="H25" i="33" s="1"/>
  <c r="H25" i="31"/>
  <c r="J31" i="13"/>
  <c r="J31" i="33" s="1"/>
  <c r="J31" i="31"/>
  <c r="H41" i="13"/>
  <c r="H41" i="33" s="1"/>
  <c r="H41" i="31"/>
  <c r="G46" i="13"/>
  <c r="G46" i="31"/>
  <c r="O46" i="31" s="1"/>
  <c r="Q57" i="23"/>
  <c r="G64" i="13"/>
  <c r="G64" i="31"/>
  <c r="O64" i="31" s="1"/>
  <c r="Q84" i="23"/>
  <c r="G71" i="13"/>
  <c r="G71" i="31"/>
  <c r="O71" i="31" s="1"/>
  <c r="Q91" i="23"/>
  <c r="G77" i="13"/>
  <c r="G77" i="31"/>
  <c r="O77" i="31" s="1"/>
  <c r="Q100" i="23"/>
  <c r="G83" i="13"/>
  <c r="G83" i="31"/>
  <c r="O83" i="31" s="1"/>
  <c r="Q106" i="23"/>
  <c r="J97" i="13"/>
  <c r="J97" i="33" s="1"/>
  <c r="J97" i="31"/>
  <c r="G102" i="13"/>
  <c r="G102" i="31"/>
  <c r="O102" i="31" s="1"/>
  <c r="Q138" i="23"/>
  <c r="J109" i="13"/>
  <c r="J109" i="33" s="1"/>
  <c r="J109" i="31"/>
  <c r="K113" i="13"/>
  <c r="K113" i="31"/>
  <c r="G134" i="13"/>
  <c r="G134" i="31"/>
  <c r="O134" i="31" s="1"/>
  <c r="Q170" i="23"/>
  <c r="J146" i="13"/>
  <c r="J146" i="33" s="1"/>
  <c r="J146" i="31"/>
  <c r="K150" i="13"/>
  <c r="K150" i="31"/>
  <c r="O118" i="33"/>
  <c r="O118" i="5"/>
  <c r="G14" i="13"/>
  <c r="G14" i="31"/>
  <c r="O14" i="31" s="1"/>
  <c r="Q14" i="23"/>
  <c r="G20" i="13"/>
  <c r="G20" i="31"/>
  <c r="O20" i="31" s="1"/>
  <c r="Q23" i="23"/>
  <c r="K31" i="13"/>
  <c r="K31" i="31"/>
  <c r="I41" i="13"/>
  <c r="I41" i="33" s="1"/>
  <c r="I41" i="31"/>
  <c r="G54" i="13"/>
  <c r="G54" i="31"/>
  <c r="O54" i="31" s="1"/>
  <c r="Q74" i="23"/>
  <c r="H66" i="13"/>
  <c r="H66" i="33" s="1"/>
  <c r="H66" i="31"/>
  <c r="G72" i="13"/>
  <c r="G72" i="31"/>
  <c r="O72" i="31" s="1"/>
  <c r="Q95" i="23"/>
  <c r="H78" i="13"/>
  <c r="H78" i="33" s="1"/>
  <c r="H78" i="31"/>
  <c r="G80" i="13"/>
  <c r="G80" i="31"/>
  <c r="O80" i="31" s="1"/>
  <c r="Q103" i="23"/>
  <c r="G84" i="13"/>
  <c r="G84" i="31"/>
  <c r="O84" i="31" s="1"/>
  <c r="Q107" i="23"/>
  <c r="G87" i="13"/>
  <c r="G87" i="31"/>
  <c r="O87" i="31" s="1"/>
  <c r="Q110" i="23"/>
  <c r="G92" i="13"/>
  <c r="G92" i="31"/>
  <c r="O92" i="31" s="1"/>
  <c r="Q119" i="23"/>
  <c r="K97" i="13"/>
  <c r="K97" i="31"/>
  <c r="H101" i="13"/>
  <c r="H101" i="33" s="1"/>
  <c r="H101" i="31"/>
  <c r="G103" i="13"/>
  <c r="G103" i="31"/>
  <c r="O103" i="31" s="1"/>
  <c r="Q139" i="23"/>
  <c r="G108" i="13"/>
  <c r="G108" i="31"/>
  <c r="O108" i="31" s="1"/>
  <c r="Q144" i="23"/>
  <c r="K109" i="13"/>
  <c r="K109" i="31"/>
  <c r="H113" i="13"/>
  <c r="H113" i="33" s="1"/>
  <c r="H113" i="31"/>
  <c r="G114" i="13"/>
  <c r="G114" i="31"/>
  <c r="O114" i="31" s="1"/>
  <c r="Q150" i="23"/>
  <c r="G121" i="13"/>
  <c r="G121" i="31"/>
  <c r="O121" i="31" s="1"/>
  <c r="Q157" i="23"/>
  <c r="G135" i="13"/>
  <c r="G135" i="31"/>
  <c r="O135" i="31" s="1"/>
  <c r="Q171" i="23"/>
  <c r="K146" i="13"/>
  <c r="K146" i="31"/>
  <c r="H150" i="13"/>
  <c r="H150" i="33" s="1"/>
  <c r="H150" i="31"/>
  <c r="G151" i="13"/>
  <c r="G151" i="31"/>
  <c r="O151" i="31" s="1"/>
  <c r="Q187" i="23"/>
  <c r="G13" i="13"/>
  <c r="G13" i="31"/>
  <c r="O13" i="31" s="1"/>
  <c r="Q13" i="23"/>
  <c r="G19" i="13"/>
  <c r="G19" i="31"/>
  <c r="O19" i="31" s="1"/>
  <c r="Q22" i="23"/>
  <c r="G29" i="13"/>
  <c r="G29" i="31"/>
  <c r="O29" i="31" s="1"/>
  <c r="Q32" i="23"/>
  <c r="G34" i="13"/>
  <c r="G34" i="31"/>
  <c r="O34" i="31" s="1"/>
  <c r="Q37" i="23"/>
  <c r="G42" i="13"/>
  <c r="G42" i="31"/>
  <c r="O42" i="31" s="1"/>
  <c r="Q45" i="23"/>
  <c r="G53" i="13"/>
  <c r="G53" i="31"/>
  <c r="O53" i="31" s="1"/>
  <c r="Q73" i="23"/>
  <c r="G58" i="13"/>
  <c r="G58" i="31"/>
  <c r="O58" i="31" s="1"/>
  <c r="Q78" i="23"/>
  <c r="G67" i="13"/>
  <c r="G67" i="31"/>
  <c r="O67" i="31" s="1"/>
  <c r="Q87" i="23"/>
  <c r="J73" i="13"/>
  <c r="J73" i="33" s="1"/>
  <c r="J73" i="31"/>
  <c r="G79" i="13"/>
  <c r="G79" i="31"/>
  <c r="O79" i="31" s="1"/>
  <c r="Q102" i="23"/>
  <c r="G91" i="13"/>
  <c r="G91" i="31"/>
  <c r="O91" i="31" s="1"/>
  <c r="Q118" i="23"/>
  <c r="G100" i="13"/>
  <c r="G100" i="31"/>
  <c r="O100" i="31" s="1"/>
  <c r="Q136" i="23"/>
  <c r="G106" i="13"/>
  <c r="G106" i="31"/>
  <c r="O106" i="31" s="1"/>
  <c r="Q142" i="23"/>
  <c r="G112" i="13"/>
  <c r="G112" i="31"/>
  <c r="O112" i="31" s="1"/>
  <c r="Q148" i="23"/>
  <c r="G120" i="13"/>
  <c r="G120" i="31"/>
  <c r="O120" i="31" s="1"/>
  <c r="Q156" i="23"/>
  <c r="G139" i="13"/>
  <c r="G139" i="31"/>
  <c r="O139" i="31" s="1"/>
  <c r="Q175" i="23"/>
  <c r="G149" i="13"/>
  <c r="G149" i="31"/>
  <c r="O149" i="31" s="1"/>
  <c r="Q185" i="23"/>
  <c r="O126" i="33"/>
  <c r="O126" i="5"/>
  <c r="O116" i="33"/>
  <c r="O116" i="5"/>
  <c r="O127" i="33"/>
  <c r="O127" i="5"/>
  <c r="I12" i="13"/>
  <c r="I12" i="33" s="1"/>
  <c r="I12" i="31"/>
  <c r="I18" i="13"/>
  <c r="I18" i="33" s="1"/>
  <c r="I18" i="31"/>
  <c r="K25" i="13"/>
  <c r="K25" i="31"/>
  <c r="G30" i="13"/>
  <c r="G30" i="31"/>
  <c r="O30" i="31" s="1"/>
  <c r="Q33" i="23"/>
  <c r="G35" i="13"/>
  <c r="G35" i="31"/>
  <c r="O35" i="31" s="1"/>
  <c r="Q38" i="23"/>
  <c r="G43" i="13"/>
  <c r="G43" i="31"/>
  <c r="O43" i="31" s="1"/>
  <c r="Q46" i="23"/>
  <c r="G47" i="13"/>
  <c r="G47" i="31"/>
  <c r="O47" i="31" s="1"/>
  <c r="Q58" i="23"/>
  <c r="G61" i="13"/>
  <c r="G61" i="31"/>
  <c r="O61" i="31" s="1"/>
  <c r="Q81" i="23"/>
  <c r="G68" i="13"/>
  <c r="G68" i="31"/>
  <c r="O68" i="31" s="1"/>
  <c r="Q88" i="23"/>
  <c r="K73" i="13"/>
  <c r="K73" i="31"/>
  <c r="J12" i="13"/>
  <c r="J12" i="33" s="1"/>
  <c r="J12" i="31"/>
  <c r="G15" i="13"/>
  <c r="G15" i="31"/>
  <c r="O15" i="31" s="1"/>
  <c r="Q18" i="23"/>
  <c r="J18" i="13"/>
  <c r="J18" i="33" s="1"/>
  <c r="J18" i="31"/>
  <c r="G21" i="13"/>
  <c r="G21" i="31"/>
  <c r="O21" i="31" s="1"/>
  <c r="Q24" i="23"/>
  <c r="G27" i="13"/>
  <c r="G27" i="31"/>
  <c r="O27" i="31" s="1"/>
  <c r="Q30" i="23"/>
  <c r="H31" i="13"/>
  <c r="H31" i="33" s="1"/>
  <c r="H31" i="31"/>
  <c r="G32" i="13"/>
  <c r="G32" i="31"/>
  <c r="O32" i="31" s="1"/>
  <c r="Q35" i="23"/>
  <c r="G36" i="13"/>
  <c r="G36" i="31"/>
  <c r="O36" i="31" s="1"/>
  <c r="Q39" i="23"/>
  <c r="J41" i="13"/>
  <c r="J41" i="33" s="1"/>
  <c r="J41" i="31"/>
  <c r="G44" i="13"/>
  <c r="G44" i="31"/>
  <c r="O44" i="31" s="1"/>
  <c r="Q47" i="23"/>
  <c r="G51" i="13"/>
  <c r="G51" i="31"/>
  <c r="O51" i="31" s="1"/>
  <c r="Q70" i="23"/>
  <c r="G56" i="13"/>
  <c r="G56" i="31"/>
  <c r="O56" i="31" s="1"/>
  <c r="Q76" i="23"/>
  <c r="G62" i="13"/>
  <c r="G62" i="31"/>
  <c r="O62" i="31" s="1"/>
  <c r="Q82" i="23"/>
  <c r="J66" i="13"/>
  <c r="J66" i="33" s="1"/>
  <c r="J66" i="31"/>
  <c r="G69" i="13"/>
  <c r="G69" i="31"/>
  <c r="O69" i="31" s="1"/>
  <c r="Q89" i="23"/>
  <c r="H73" i="13"/>
  <c r="H73" i="33" s="1"/>
  <c r="H73" i="31"/>
  <c r="G74" i="13"/>
  <c r="G74" i="31"/>
  <c r="O74" i="31" s="1"/>
  <c r="Q97" i="23"/>
  <c r="I78" i="13"/>
  <c r="I78" i="33" s="1"/>
  <c r="I78" i="31"/>
  <c r="G81" i="13"/>
  <c r="G81" i="31"/>
  <c r="O81" i="31" s="1"/>
  <c r="Q104" i="23"/>
  <c r="G85" i="13"/>
  <c r="G85" i="31"/>
  <c r="O85" i="31" s="1"/>
  <c r="Q108" i="23"/>
  <c r="H88" i="13"/>
  <c r="H88" i="33" s="1"/>
  <c r="H88" i="31"/>
  <c r="G89" i="13"/>
  <c r="G89" i="31"/>
  <c r="O89" i="31" s="1"/>
  <c r="Q116" i="23"/>
  <c r="G93" i="13"/>
  <c r="G93" i="31"/>
  <c r="O93" i="31" s="1"/>
  <c r="Q120" i="23"/>
  <c r="G98" i="13"/>
  <c r="G98" i="31"/>
  <c r="O98" i="31" s="1"/>
  <c r="Q134" i="23"/>
  <c r="I101" i="13"/>
  <c r="I101" i="33" s="1"/>
  <c r="I101" i="31"/>
  <c r="G104" i="13"/>
  <c r="G104" i="31"/>
  <c r="O104" i="31" s="1"/>
  <c r="Q140" i="23"/>
  <c r="H109" i="13"/>
  <c r="H109" i="33" s="1"/>
  <c r="H109" i="31"/>
  <c r="G110" i="13"/>
  <c r="G110" i="31"/>
  <c r="O110" i="31" s="1"/>
  <c r="Q146" i="23"/>
  <c r="I113" i="13"/>
  <c r="I113" i="33" s="1"/>
  <c r="I113" i="31"/>
  <c r="G117" i="13"/>
  <c r="G117" i="31"/>
  <c r="O117" i="31" s="1"/>
  <c r="Q153" i="23"/>
  <c r="G131" i="13"/>
  <c r="G131" i="31"/>
  <c r="O131" i="31" s="1"/>
  <c r="Q167" i="23"/>
  <c r="G136" i="13"/>
  <c r="G136" i="31"/>
  <c r="O136" i="31" s="1"/>
  <c r="Q172" i="23"/>
  <c r="G144" i="13"/>
  <c r="G144" i="31"/>
  <c r="O144" i="31" s="1"/>
  <c r="Q180" i="23"/>
  <c r="J147" i="13"/>
  <c r="J147" i="33" s="1"/>
  <c r="J147" i="31"/>
  <c r="I150" i="13"/>
  <c r="I150" i="33" s="1"/>
  <c r="I150" i="31"/>
  <c r="G153" i="13"/>
  <c r="G153" i="31"/>
  <c r="O153" i="31" s="1"/>
  <c r="Q189" i="23"/>
  <c r="O128" i="33"/>
  <c r="O128" i="5"/>
  <c r="O115" i="33"/>
  <c r="O115" i="5"/>
  <c r="K12" i="13"/>
  <c r="K12" i="31"/>
  <c r="G16" i="13"/>
  <c r="G16" i="31"/>
  <c r="O16" i="31" s="1"/>
  <c r="Q19" i="23"/>
  <c r="K18" i="13"/>
  <c r="K18" i="31"/>
  <c r="G24" i="13"/>
  <c r="G24" i="31"/>
  <c r="O24" i="31" s="1"/>
  <c r="Q27" i="23"/>
  <c r="G28" i="13"/>
  <c r="G28" i="31"/>
  <c r="O28" i="31" s="1"/>
  <c r="Q31" i="23"/>
  <c r="I31" i="13"/>
  <c r="I31" i="33" s="1"/>
  <c r="I31" i="31"/>
  <c r="G33" i="13"/>
  <c r="G33" i="31"/>
  <c r="O33" i="31" s="1"/>
  <c r="Q36" i="23"/>
  <c r="G37" i="13"/>
  <c r="G37" i="31"/>
  <c r="O37" i="31" s="1"/>
  <c r="Q40" i="23"/>
  <c r="K41" i="13"/>
  <c r="K41" i="31"/>
  <c r="G45" i="13"/>
  <c r="G45" i="31"/>
  <c r="O45" i="31" s="1"/>
  <c r="Q54" i="23"/>
  <c r="G52" i="13"/>
  <c r="G52" i="31"/>
  <c r="O52" i="31" s="1"/>
  <c r="Q71" i="23"/>
  <c r="G57" i="13"/>
  <c r="G57" i="31"/>
  <c r="O57" i="31" s="1"/>
  <c r="Q77" i="23"/>
  <c r="G63" i="13"/>
  <c r="G63" i="31"/>
  <c r="O63" i="31" s="1"/>
  <c r="Q83" i="23"/>
  <c r="K66" i="13"/>
  <c r="K66" i="31"/>
  <c r="G70" i="13"/>
  <c r="G70" i="31"/>
  <c r="O70" i="31" s="1"/>
  <c r="Q90" i="23"/>
  <c r="I73" i="13"/>
  <c r="I73" i="33" s="1"/>
  <c r="I73" i="31"/>
  <c r="G76" i="13"/>
  <c r="G76" i="31"/>
  <c r="O76" i="31" s="1"/>
  <c r="Q99" i="23"/>
  <c r="J78" i="13"/>
  <c r="J78" i="33" s="1"/>
  <c r="J78" i="31"/>
  <c r="G82" i="13"/>
  <c r="G82" i="31"/>
  <c r="O82" i="31" s="1"/>
  <c r="Q105" i="23"/>
  <c r="G86" i="13"/>
  <c r="G86" i="31"/>
  <c r="O86" i="31" s="1"/>
  <c r="Q109" i="23"/>
  <c r="I88" i="13"/>
  <c r="I88" i="33" s="1"/>
  <c r="I88" i="31"/>
  <c r="G94" i="13"/>
  <c r="G94" i="31"/>
  <c r="O94" i="31" s="1"/>
  <c r="Q121" i="23"/>
  <c r="G99" i="13"/>
  <c r="G99" i="31"/>
  <c r="O99" i="31" s="1"/>
  <c r="Q135" i="23"/>
  <c r="K101" i="13"/>
  <c r="K101" i="31"/>
  <c r="G105" i="13"/>
  <c r="G105" i="31"/>
  <c r="O105" i="31" s="1"/>
  <c r="Q141" i="23"/>
  <c r="I109" i="13"/>
  <c r="I109" i="33" s="1"/>
  <c r="I109" i="31"/>
  <c r="G111" i="13"/>
  <c r="G111" i="31"/>
  <c r="O111" i="31" s="1"/>
  <c r="Q147" i="23"/>
  <c r="J113" i="13"/>
  <c r="J113" i="33" s="1"/>
  <c r="J113" i="31"/>
  <c r="G119" i="13"/>
  <c r="G119" i="31"/>
  <c r="O119" i="31" s="1"/>
  <c r="Q155" i="23"/>
  <c r="G133" i="13"/>
  <c r="G133" i="31"/>
  <c r="O133" i="31" s="1"/>
  <c r="Q169" i="23"/>
  <c r="G138" i="13"/>
  <c r="G138" i="31"/>
  <c r="O138" i="31" s="1"/>
  <c r="Q174" i="23"/>
  <c r="G145" i="13"/>
  <c r="G145" i="31"/>
  <c r="O145" i="31" s="1"/>
  <c r="Q181" i="23"/>
  <c r="K147" i="13"/>
  <c r="K147" i="31"/>
  <c r="J150" i="13"/>
  <c r="J150" i="33" s="1"/>
  <c r="J150" i="31"/>
  <c r="G154" i="13"/>
  <c r="G154" i="31"/>
  <c r="O154" i="31" s="1"/>
  <c r="Q190" i="23"/>
  <c r="P42" i="22"/>
  <c r="I41" i="22"/>
  <c r="K88" i="13"/>
  <c r="K88" i="31"/>
  <c r="J88" i="13"/>
  <c r="J88" i="33" s="1"/>
  <c r="J88" i="31"/>
  <c r="G90" i="13"/>
  <c r="G90" i="31"/>
  <c r="O90" i="31" s="1"/>
  <c r="Q117" i="23"/>
  <c r="H29" i="23"/>
  <c r="I133" i="23"/>
  <c r="J177" i="23"/>
  <c r="J178" i="23"/>
  <c r="I26" i="23"/>
  <c r="J26" i="23"/>
  <c r="J28" i="23"/>
  <c r="H65" i="23"/>
  <c r="H66" i="23"/>
  <c r="I132" i="23"/>
  <c r="J132" i="23"/>
  <c r="J133" i="23"/>
  <c r="K137" i="23"/>
  <c r="H166" i="23"/>
  <c r="H168" i="23"/>
  <c r="H186" i="23"/>
  <c r="H188" i="23"/>
  <c r="H21" i="23"/>
  <c r="K26" i="23"/>
  <c r="K28" i="23"/>
  <c r="I75" i="23"/>
  <c r="H79" i="23"/>
  <c r="H80" i="23"/>
  <c r="H96" i="23"/>
  <c r="H98" i="23"/>
  <c r="K132" i="23"/>
  <c r="H145" i="23"/>
  <c r="K178" i="23"/>
  <c r="I182" i="23"/>
  <c r="I183" i="23"/>
  <c r="H183" i="23"/>
  <c r="H184" i="23"/>
  <c r="J75" i="23"/>
  <c r="J86" i="23"/>
  <c r="L75" i="23"/>
  <c r="L101" i="23"/>
  <c r="H137" i="23"/>
  <c r="H143" i="23"/>
  <c r="H133" i="23"/>
  <c r="L178" i="23"/>
  <c r="J182" i="23"/>
  <c r="J183" i="23"/>
  <c r="I165" i="26"/>
  <c r="N41" i="26"/>
  <c r="H149" i="23"/>
  <c r="H115" i="23"/>
  <c r="I43" i="23"/>
  <c r="H86" i="23"/>
  <c r="J43" i="23"/>
  <c r="H44" i="23"/>
  <c r="H34" i="23"/>
  <c r="L132" i="23"/>
  <c r="H101" i="23"/>
  <c r="J192" i="23"/>
  <c r="J173" i="23"/>
  <c r="H193" i="23"/>
  <c r="G194" i="22"/>
  <c r="G178" i="22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F110" i="22"/>
  <c r="G11" i="22"/>
  <c r="G12" i="22" s="1"/>
  <c r="G13" i="22" s="1"/>
  <c r="G14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54" i="22" s="1"/>
  <c r="G57" i="22" s="1"/>
  <c r="G58" i="22" s="1"/>
  <c r="G64" i="22" s="1"/>
  <c r="G65" i="22" s="1"/>
  <c r="G66" i="22" s="1"/>
  <c r="G70" i="22" s="1"/>
  <c r="G71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5" i="22" s="1"/>
  <c r="G116" i="22" s="1"/>
  <c r="G117" i="22" s="1"/>
  <c r="G118" i="22" s="1"/>
  <c r="G119" i="22" s="1"/>
  <c r="G120" i="22" s="1"/>
  <c r="G121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I40" i="13" l="1"/>
  <c r="I40" i="33" s="1"/>
  <c r="I40" i="31"/>
  <c r="G101" i="13"/>
  <c r="G101" i="31"/>
  <c r="O101" i="31" s="1"/>
  <c r="Q137" i="23"/>
  <c r="G75" i="13"/>
  <c r="G75" i="31"/>
  <c r="O75" i="31" s="1"/>
  <c r="Q98" i="23"/>
  <c r="J101" i="13"/>
  <c r="J101" i="33" s="1"/>
  <c r="J101" i="31"/>
  <c r="H23" i="13"/>
  <c r="H23" i="33" s="1"/>
  <c r="H23" i="31"/>
  <c r="I191" i="22"/>
  <c r="P191" i="22" s="1"/>
  <c r="P41" i="22"/>
  <c r="K147" i="5"/>
  <c r="K147" i="33"/>
  <c r="G119" i="33"/>
  <c r="O119" i="13"/>
  <c r="K18" i="5"/>
  <c r="K18" i="33"/>
  <c r="G153" i="33"/>
  <c r="O153" i="13"/>
  <c r="G157" i="13"/>
  <c r="G157" i="31"/>
  <c r="O157" i="31" s="1"/>
  <c r="Q193" i="23"/>
  <c r="K96" i="13"/>
  <c r="K96" i="31"/>
  <c r="G66" i="13"/>
  <c r="G66" i="31"/>
  <c r="O66" i="31" s="1"/>
  <c r="Q86" i="23"/>
  <c r="K142" i="13"/>
  <c r="K142" i="31"/>
  <c r="K78" i="13"/>
  <c r="K78" i="31"/>
  <c r="G148" i="13"/>
  <c r="G148" i="31"/>
  <c r="O148" i="31" s="1"/>
  <c r="Q184" i="23"/>
  <c r="J142" i="13"/>
  <c r="J142" i="33" s="1"/>
  <c r="J142" i="31"/>
  <c r="G73" i="13"/>
  <c r="G73" i="31"/>
  <c r="O73" i="31" s="1"/>
  <c r="Q96" i="23"/>
  <c r="J25" i="13"/>
  <c r="J25" i="33" s="1"/>
  <c r="J25" i="31"/>
  <c r="G150" i="13"/>
  <c r="G150" i="31"/>
  <c r="O150" i="31" s="1"/>
  <c r="Q186" i="23"/>
  <c r="I97" i="13"/>
  <c r="I97" i="33" s="1"/>
  <c r="I97" i="31"/>
  <c r="G49" i="13"/>
  <c r="G49" i="31"/>
  <c r="O49" i="31" s="1"/>
  <c r="Q65" i="23"/>
  <c r="I142" i="13"/>
  <c r="I142" i="33" s="1"/>
  <c r="I142" i="31"/>
  <c r="G133" i="33"/>
  <c r="O133" i="13"/>
  <c r="G111" i="33"/>
  <c r="O111" i="13"/>
  <c r="G63" i="33"/>
  <c r="O63" i="13"/>
  <c r="K12" i="5"/>
  <c r="K12" i="33"/>
  <c r="G131" i="33"/>
  <c r="O131" i="13"/>
  <c r="G110" i="33"/>
  <c r="O110" i="13"/>
  <c r="G89" i="33"/>
  <c r="O89" i="13"/>
  <c r="G81" i="33"/>
  <c r="O81" i="13"/>
  <c r="G44" i="33"/>
  <c r="O44" i="13"/>
  <c r="G32" i="33"/>
  <c r="O32" i="13"/>
  <c r="G21" i="33"/>
  <c r="O21" i="13"/>
  <c r="G68" i="33"/>
  <c r="O68" i="13"/>
  <c r="G35" i="33"/>
  <c r="O35" i="13"/>
  <c r="G120" i="33"/>
  <c r="O120" i="13"/>
  <c r="G91" i="33"/>
  <c r="O91" i="13"/>
  <c r="G67" i="33"/>
  <c r="O67" i="13"/>
  <c r="G34" i="33"/>
  <c r="O34" i="13"/>
  <c r="G151" i="33"/>
  <c r="O151" i="13"/>
  <c r="K146" i="5"/>
  <c r="K146" i="33"/>
  <c r="G108" i="33"/>
  <c r="O108" i="13"/>
  <c r="G84" i="33"/>
  <c r="O84" i="13"/>
  <c r="G72" i="33"/>
  <c r="O72" i="13"/>
  <c r="G20" i="33"/>
  <c r="O20" i="13"/>
  <c r="G134" i="33"/>
  <c r="O134" i="13"/>
  <c r="G83" i="33"/>
  <c r="O83" i="13"/>
  <c r="G46" i="33"/>
  <c r="O46" i="13"/>
  <c r="G113" i="13"/>
  <c r="G113" i="31"/>
  <c r="O113" i="31" s="1"/>
  <c r="Q149" i="23"/>
  <c r="I55" i="13"/>
  <c r="I55" i="33" s="1"/>
  <c r="I55" i="31"/>
  <c r="G152" i="13"/>
  <c r="G152" i="31"/>
  <c r="O152" i="31" s="1"/>
  <c r="Q188" i="23"/>
  <c r="G26" i="13"/>
  <c r="G26" i="31"/>
  <c r="O26" i="31" s="1"/>
  <c r="Q29" i="23"/>
  <c r="G70" i="33"/>
  <c r="O70" i="13"/>
  <c r="G62" i="33"/>
  <c r="O62" i="13"/>
  <c r="G61" i="33"/>
  <c r="O61" i="13"/>
  <c r="G112" i="33"/>
  <c r="O112" i="13"/>
  <c r="G79" i="33"/>
  <c r="O79" i="13"/>
  <c r="G58" i="33"/>
  <c r="O58" i="13"/>
  <c r="G29" i="33"/>
  <c r="O29" i="13"/>
  <c r="G135" i="33"/>
  <c r="O135" i="13"/>
  <c r="G103" i="33"/>
  <c r="O103" i="13"/>
  <c r="G80" i="33"/>
  <c r="O80" i="13"/>
  <c r="G102" i="33"/>
  <c r="O102" i="13"/>
  <c r="G77" i="33"/>
  <c r="O77" i="13"/>
  <c r="H40" i="13"/>
  <c r="H40" i="33" s="1"/>
  <c r="H40" i="31"/>
  <c r="G97" i="13"/>
  <c r="G97" i="31"/>
  <c r="O97" i="31" s="1"/>
  <c r="Q133" i="23"/>
  <c r="G147" i="13"/>
  <c r="G147" i="31"/>
  <c r="O147" i="31" s="1"/>
  <c r="Q183" i="23"/>
  <c r="G60" i="13"/>
  <c r="G60" i="31"/>
  <c r="O60" i="31" s="1"/>
  <c r="Q80" i="23"/>
  <c r="J23" i="13"/>
  <c r="J23" i="33" s="1"/>
  <c r="J23" i="31"/>
  <c r="G132" i="13"/>
  <c r="G132" i="31"/>
  <c r="O132" i="31" s="1"/>
  <c r="Q168" i="23"/>
  <c r="I96" i="13"/>
  <c r="I96" i="33" s="1"/>
  <c r="I96" i="31"/>
  <c r="I25" i="13"/>
  <c r="I25" i="33" s="1"/>
  <c r="I25" i="31"/>
  <c r="I141" i="13"/>
  <c r="I141" i="33" s="1"/>
  <c r="I141" i="31"/>
  <c r="G138" i="33"/>
  <c r="G160" i="33" s="1"/>
  <c r="O138" i="13"/>
  <c r="G105" i="33"/>
  <c r="O105" i="13"/>
  <c r="G94" i="33"/>
  <c r="O94" i="13"/>
  <c r="G82" i="33"/>
  <c r="O82" i="13"/>
  <c r="K66" i="5"/>
  <c r="K66" i="33"/>
  <c r="G45" i="33"/>
  <c r="O45" i="13"/>
  <c r="G33" i="33"/>
  <c r="O33" i="13"/>
  <c r="G24" i="33"/>
  <c r="O24" i="13"/>
  <c r="G136" i="33"/>
  <c r="O136" i="13"/>
  <c r="G104" i="33"/>
  <c r="O104" i="13"/>
  <c r="G93" i="33"/>
  <c r="O93" i="13"/>
  <c r="G85" i="33"/>
  <c r="O85" i="13"/>
  <c r="G74" i="33"/>
  <c r="O74" i="13"/>
  <c r="G51" i="33"/>
  <c r="O51" i="13"/>
  <c r="G36" i="33"/>
  <c r="O36" i="13"/>
  <c r="G27" i="33"/>
  <c r="O27" i="13"/>
  <c r="G15" i="33"/>
  <c r="O15" i="13"/>
  <c r="K73" i="5"/>
  <c r="K73" i="33"/>
  <c r="G43" i="33"/>
  <c r="O43" i="13"/>
  <c r="K25" i="5"/>
  <c r="K25" i="33"/>
  <c r="G139" i="33"/>
  <c r="O139" i="13"/>
  <c r="G100" i="33"/>
  <c r="O100" i="13"/>
  <c r="G42" i="33"/>
  <c r="O42" i="13"/>
  <c r="G13" i="33"/>
  <c r="O13" i="13"/>
  <c r="G114" i="33"/>
  <c r="O114" i="13"/>
  <c r="K109" i="5"/>
  <c r="K109" i="33"/>
  <c r="G87" i="33"/>
  <c r="O87" i="13"/>
  <c r="G54" i="33"/>
  <c r="O54" i="13"/>
  <c r="K31" i="5"/>
  <c r="K31" i="33"/>
  <c r="G64" i="33"/>
  <c r="O64" i="13"/>
  <c r="G78" i="13"/>
  <c r="G78" i="31"/>
  <c r="O78" i="31" s="1"/>
  <c r="Q101" i="23"/>
  <c r="I146" i="13"/>
  <c r="I146" i="33" s="1"/>
  <c r="I146" i="31"/>
  <c r="H146" i="13"/>
  <c r="H146" i="33" s="1"/>
  <c r="H146" i="31"/>
  <c r="H55" i="13"/>
  <c r="H55" i="33" s="1"/>
  <c r="H55" i="31"/>
  <c r="G50" i="13"/>
  <c r="G50" i="31"/>
  <c r="O50" i="31" s="1"/>
  <c r="Q66" i="23"/>
  <c r="G154" i="33"/>
  <c r="O154" i="13"/>
  <c r="K101" i="5"/>
  <c r="K101" i="33"/>
  <c r="G57" i="33"/>
  <c r="O57" i="13"/>
  <c r="K41" i="5"/>
  <c r="K41" i="33"/>
  <c r="G117" i="33"/>
  <c r="O117" i="13"/>
  <c r="G30" i="33"/>
  <c r="O30" i="13"/>
  <c r="K97" i="5"/>
  <c r="K97" i="33"/>
  <c r="G14" i="33"/>
  <c r="O14" i="13"/>
  <c r="K150" i="5"/>
  <c r="K150" i="33"/>
  <c r="I137" i="13"/>
  <c r="I137" i="33" s="1"/>
  <c r="I137" i="31"/>
  <c r="G31" i="13"/>
  <c r="G31" i="31"/>
  <c r="O31" i="31" s="1"/>
  <c r="Q34" i="23"/>
  <c r="K55" i="13"/>
  <c r="K55" i="31"/>
  <c r="G109" i="13"/>
  <c r="G109" i="31"/>
  <c r="O109" i="31" s="1"/>
  <c r="Q145" i="23"/>
  <c r="I156" i="13"/>
  <c r="I156" i="33" s="1"/>
  <c r="I156" i="31"/>
  <c r="G41" i="13"/>
  <c r="G41" i="31"/>
  <c r="O41" i="31" s="1"/>
  <c r="Q44" i="23"/>
  <c r="I147" i="13"/>
  <c r="I147" i="33" s="1"/>
  <c r="I147" i="31"/>
  <c r="G107" i="13"/>
  <c r="G107" i="31"/>
  <c r="O107" i="31" s="1"/>
  <c r="Q143" i="23"/>
  <c r="I66" i="13"/>
  <c r="I66" i="33" s="1"/>
  <c r="I66" i="31"/>
  <c r="H147" i="13"/>
  <c r="H147" i="33" s="1"/>
  <c r="H147" i="31"/>
  <c r="J96" i="13"/>
  <c r="J96" i="33" s="1"/>
  <c r="J96" i="31"/>
  <c r="G59" i="13"/>
  <c r="G59" i="31"/>
  <c r="O59" i="31" s="1"/>
  <c r="Q79" i="23"/>
  <c r="G18" i="13"/>
  <c r="G18" i="31"/>
  <c r="O18" i="31" s="1"/>
  <c r="Q21" i="23"/>
  <c r="G130" i="13"/>
  <c r="G130" i="31"/>
  <c r="O130" i="31" s="1"/>
  <c r="Q166" i="23"/>
  <c r="H96" i="13"/>
  <c r="H96" i="33" s="1"/>
  <c r="H96" i="31"/>
  <c r="I23" i="13"/>
  <c r="I23" i="33" s="1"/>
  <c r="I23" i="31"/>
  <c r="H97" i="13"/>
  <c r="H97" i="33" s="1"/>
  <c r="H97" i="31"/>
  <c r="G145" i="33"/>
  <c r="O145" i="13"/>
  <c r="G99" i="33"/>
  <c r="O99" i="13"/>
  <c r="G86" i="33"/>
  <c r="O86" i="13"/>
  <c r="G76" i="33"/>
  <c r="O76" i="13"/>
  <c r="G52" i="33"/>
  <c r="O52" i="13"/>
  <c r="G37" i="33"/>
  <c r="O37" i="13"/>
  <c r="G28" i="33"/>
  <c r="O28" i="13"/>
  <c r="G16" i="33"/>
  <c r="O16" i="13"/>
  <c r="G144" i="33"/>
  <c r="O144" i="13"/>
  <c r="G98" i="33"/>
  <c r="O98" i="13"/>
  <c r="G69" i="33"/>
  <c r="O69" i="13"/>
  <c r="G56" i="33"/>
  <c r="O56" i="13"/>
  <c r="G47" i="33"/>
  <c r="O47" i="13"/>
  <c r="G149" i="33"/>
  <c r="O149" i="13"/>
  <c r="G106" i="33"/>
  <c r="O106" i="13"/>
  <c r="G53" i="33"/>
  <c r="O53" i="13"/>
  <c r="G19" i="33"/>
  <c r="O19" i="13"/>
  <c r="G121" i="33"/>
  <c r="O121" i="13"/>
  <c r="G92" i="33"/>
  <c r="O92" i="13"/>
  <c r="K113" i="5"/>
  <c r="K113" i="33"/>
  <c r="G71" i="33"/>
  <c r="O71" i="13"/>
  <c r="K88" i="5"/>
  <c r="K88" i="33"/>
  <c r="G88" i="13"/>
  <c r="G88" i="31"/>
  <c r="O88" i="31" s="1"/>
  <c r="Q115" i="23"/>
  <c r="G90" i="33"/>
  <c r="O90" i="13"/>
  <c r="H179" i="23"/>
  <c r="L177" i="23"/>
  <c r="K10" i="23"/>
  <c r="K11" i="23"/>
  <c r="K43" i="23"/>
  <c r="K75" i="23"/>
  <c r="L192" i="23"/>
  <c r="K192" i="23"/>
  <c r="K177" i="23"/>
  <c r="J10" i="23"/>
  <c r="J11" i="23"/>
  <c r="L26" i="23"/>
  <c r="I177" i="23"/>
  <c r="I178" i="23"/>
  <c r="H132" i="23"/>
  <c r="H12" i="23"/>
  <c r="L43" i="23"/>
  <c r="H182" i="23"/>
  <c r="H28" i="23"/>
  <c r="H26" i="23"/>
  <c r="N191" i="26"/>
  <c r="J193" i="23"/>
  <c r="I192" i="23"/>
  <c r="J141" i="13" l="1"/>
  <c r="J141" i="33" s="1"/>
  <c r="J141" i="31"/>
  <c r="O19" i="33"/>
  <c r="O19" i="5"/>
  <c r="O69" i="33"/>
  <c r="O69" i="5"/>
  <c r="O28" i="33"/>
  <c r="O28" i="5"/>
  <c r="O145" i="33"/>
  <c r="O145" i="5"/>
  <c r="G78" i="33"/>
  <c r="O78" i="13"/>
  <c r="G97" i="33"/>
  <c r="O97" i="13"/>
  <c r="O84" i="33"/>
  <c r="O84" i="5"/>
  <c r="O34" i="33"/>
  <c r="O34" i="5"/>
  <c r="O35" i="33"/>
  <c r="O35" i="5"/>
  <c r="O44" i="33"/>
  <c r="O44" i="5"/>
  <c r="O131" i="33"/>
  <c r="O131" i="5"/>
  <c r="O133" i="33"/>
  <c r="O133" i="5"/>
  <c r="G66" i="33"/>
  <c r="O66" i="13"/>
  <c r="G23" i="13"/>
  <c r="G23" i="31"/>
  <c r="O23" i="31" s="1"/>
  <c r="Q26" i="23"/>
  <c r="G12" i="13"/>
  <c r="G12" i="31"/>
  <c r="O12" i="31" s="1"/>
  <c r="Q12" i="23"/>
  <c r="K23" i="13"/>
  <c r="K23" i="31"/>
  <c r="J156" i="13"/>
  <c r="J156" i="33" s="1"/>
  <c r="J156" i="31"/>
  <c r="J11" i="13"/>
  <c r="J11" i="33" s="1"/>
  <c r="J11" i="31"/>
  <c r="G18" i="33"/>
  <c r="O18" i="13"/>
  <c r="G107" i="33"/>
  <c r="O107" i="13"/>
  <c r="K55" i="5"/>
  <c r="K55" i="33"/>
  <c r="O14" i="33"/>
  <c r="O14" i="5"/>
  <c r="O30" i="33"/>
  <c r="O30" i="5"/>
  <c r="O64" i="33"/>
  <c r="O64" i="5"/>
  <c r="O54" i="33"/>
  <c r="O54" i="5"/>
  <c r="O13" i="33"/>
  <c r="O13" i="5"/>
  <c r="O100" i="33"/>
  <c r="O100" i="5"/>
  <c r="O27" i="33"/>
  <c r="O27" i="5"/>
  <c r="O51" i="33"/>
  <c r="O51" i="5"/>
  <c r="O85" i="33"/>
  <c r="O85" i="5"/>
  <c r="O104" i="33"/>
  <c r="O104" i="5"/>
  <c r="O24" i="33"/>
  <c r="O24" i="5"/>
  <c r="O45" i="33"/>
  <c r="O45" i="5"/>
  <c r="O82" i="33"/>
  <c r="O82" i="5"/>
  <c r="O105" i="33"/>
  <c r="O105" i="5"/>
  <c r="G132" i="33"/>
  <c r="O132" i="13"/>
  <c r="G147" i="33"/>
  <c r="O147" i="13"/>
  <c r="O102" i="33"/>
  <c r="O102" i="5"/>
  <c r="O103" i="33"/>
  <c r="O103" i="5"/>
  <c r="O29" i="33"/>
  <c r="O29" i="5"/>
  <c r="O79" i="33"/>
  <c r="O79" i="5"/>
  <c r="O61" i="33"/>
  <c r="O61" i="5"/>
  <c r="O70" i="33"/>
  <c r="O70" i="5"/>
  <c r="G26" i="33"/>
  <c r="O26" i="13"/>
  <c r="G113" i="33"/>
  <c r="O113" i="13"/>
  <c r="G148" i="33"/>
  <c r="O148" i="13"/>
  <c r="K142" i="5"/>
  <c r="K142" i="33"/>
  <c r="G157" i="33"/>
  <c r="O157" i="13"/>
  <c r="G101" i="33"/>
  <c r="O101" i="13"/>
  <c r="K40" i="13"/>
  <c r="K40" i="31"/>
  <c r="G143" i="13"/>
  <c r="G143" i="31"/>
  <c r="O143" i="31" s="1"/>
  <c r="Q179" i="23"/>
  <c r="O92" i="33"/>
  <c r="O92" i="5"/>
  <c r="O47" i="33"/>
  <c r="O47" i="5"/>
  <c r="O52" i="33"/>
  <c r="O52" i="5"/>
  <c r="O20" i="33"/>
  <c r="O20" i="5"/>
  <c r="H156" i="13"/>
  <c r="H156" i="33" s="1"/>
  <c r="H156" i="31"/>
  <c r="G96" i="13"/>
  <c r="G96" i="31"/>
  <c r="O96" i="31" s="1"/>
  <c r="Q132" i="23"/>
  <c r="J10" i="13"/>
  <c r="J10" i="33" s="1"/>
  <c r="J10" i="31"/>
  <c r="O53" i="33"/>
  <c r="O53" i="5"/>
  <c r="O56" i="33"/>
  <c r="O56" i="5"/>
  <c r="O98" i="33"/>
  <c r="O98" i="5"/>
  <c r="O16" i="33"/>
  <c r="O16" i="5"/>
  <c r="O37" i="33"/>
  <c r="O37" i="5"/>
  <c r="O76" i="33"/>
  <c r="O76" i="5"/>
  <c r="O99" i="33"/>
  <c r="O99" i="5"/>
  <c r="G130" i="33"/>
  <c r="O130" i="13"/>
  <c r="G41" i="33"/>
  <c r="O41" i="13"/>
  <c r="G60" i="33"/>
  <c r="O60" i="13"/>
  <c r="O46" i="33"/>
  <c r="O46" i="5"/>
  <c r="O134" i="33"/>
  <c r="O134" i="5"/>
  <c r="O72" i="33"/>
  <c r="O72" i="5"/>
  <c r="O108" i="33"/>
  <c r="O108" i="5"/>
  <c r="O151" i="33"/>
  <c r="O151" i="5"/>
  <c r="O67" i="33"/>
  <c r="O67" i="5"/>
  <c r="O120" i="33"/>
  <c r="O120" i="5"/>
  <c r="O68" i="33"/>
  <c r="O68" i="5"/>
  <c r="O32" i="33"/>
  <c r="O32" i="5"/>
  <c r="O81" i="33"/>
  <c r="O81" i="5"/>
  <c r="O110" i="33"/>
  <c r="O110" i="5"/>
  <c r="O111" i="33"/>
  <c r="O111" i="5"/>
  <c r="G49" i="33"/>
  <c r="O49" i="13"/>
  <c r="K96" i="5"/>
  <c r="K96" i="33"/>
  <c r="O153" i="33"/>
  <c r="O153" i="5"/>
  <c r="O119" i="33"/>
  <c r="O119" i="5"/>
  <c r="G75" i="33"/>
  <c r="O75" i="13"/>
  <c r="H141" i="13"/>
  <c r="H141" i="33" s="1"/>
  <c r="H141" i="31"/>
  <c r="J40" i="13"/>
  <c r="J40" i="33" s="1"/>
  <c r="J40" i="31"/>
  <c r="O71" i="33"/>
  <c r="O71" i="5"/>
  <c r="O106" i="33"/>
  <c r="O106" i="5"/>
  <c r="O144" i="33"/>
  <c r="O144" i="5"/>
  <c r="O86" i="33"/>
  <c r="O86" i="5"/>
  <c r="G59" i="33"/>
  <c r="O59" i="13"/>
  <c r="G31" i="33"/>
  <c r="O31" i="13"/>
  <c r="G152" i="33"/>
  <c r="O152" i="13"/>
  <c r="O83" i="33"/>
  <c r="O83" i="5"/>
  <c r="O91" i="33"/>
  <c r="O91" i="5"/>
  <c r="O21" i="33"/>
  <c r="O21" i="5"/>
  <c r="O89" i="33"/>
  <c r="O89" i="5"/>
  <c r="O63" i="33"/>
  <c r="O63" i="5"/>
  <c r="G73" i="33"/>
  <c r="O73" i="13"/>
  <c r="G25" i="13"/>
  <c r="G25" i="31"/>
  <c r="O25" i="31" s="1"/>
  <c r="Q28" i="23"/>
  <c r="I11" i="13"/>
  <c r="I11" i="33" s="1"/>
  <c r="I11" i="31"/>
  <c r="K156" i="13"/>
  <c r="K156" i="31"/>
  <c r="O121" i="33"/>
  <c r="O121" i="5"/>
  <c r="O149" i="33"/>
  <c r="O149" i="5"/>
  <c r="I157" i="13"/>
  <c r="I157" i="33" s="1"/>
  <c r="I157" i="31"/>
  <c r="G146" i="13"/>
  <c r="G146" i="31"/>
  <c r="O146" i="31" s="1"/>
  <c r="Q182" i="23"/>
  <c r="H142" i="13"/>
  <c r="H142" i="33" s="1"/>
  <c r="H142" i="31"/>
  <c r="I10" i="13"/>
  <c r="I10" i="33" s="1"/>
  <c r="I10" i="31"/>
  <c r="J55" i="13"/>
  <c r="J55" i="33" s="1"/>
  <c r="J55" i="31"/>
  <c r="K141" i="13"/>
  <c r="K141" i="31"/>
  <c r="G109" i="33"/>
  <c r="O109" i="13"/>
  <c r="O117" i="33"/>
  <c r="O117" i="5"/>
  <c r="O57" i="33"/>
  <c r="O57" i="5"/>
  <c r="O154" i="33"/>
  <c r="O154" i="5"/>
  <c r="G50" i="33"/>
  <c r="O50" i="13"/>
  <c r="O87" i="33"/>
  <c r="O87" i="5"/>
  <c r="O114" i="33"/>
  <c r="O114" i="5"/>
  <c r="O42" i="33"/>
  <c r="O42" i="5"/>
  <c r="O139" i="33"/>
  <c r="O139" i="5"/>
  <c r="O43" i="33"/>
  <c r="O43" i="5"/>
  <c r="O15" i="33"/>
  <c r="O15" i="5"/>
  <c r="O36" i="33"/>
  <c r="O36" i="5"/>
  <c r="O74" i="33"/>
  <c r="O74" i="5"/>
  <c r="O93" i="33"/>
  <c r="O93" i="5"/>
  <c r="O136" i="33"/>
  <c r="O136" i="5"/>
  <c r="O33" i="33"/>
  <c r="O33" i="5"/>
  <c r="O94" i="33"/>
  <c r="O94" i="5"/>
  <c r="O138" i="33"/>
  <c r="O138" i="5"/>
  <c r="O77" i="33"/>
  <c r="O77" i="5"/>
  <c r="O80" i="33"/>
  <c r="O80" i="5"/>
  <c r="O135" i="33"/>
  <c r="O135" i="5"/>
  <c r="O58" i="33"/>
  <c r="O58" i="5"/>
  <c r="O112" i="33"/>
  <c r="O112" i="5"/>
  <c r="O62" i="33"/>
  <c r="O62" i="5"/>
  <c r="G150" i="33"/>
  <c r="O150" i="13"/>
  <c r="K78" i="5"/>
  <c r="K78" i="33"/>
  <c r="O90" i="33"/>
  <c r="O90" i="5"/>
  <c r="G88" i="33"/>
  <c r="O88" i="13"/>
  <c r="I173" i="23"/>
  <c r="J165" i="23"/>
  <c r="L10" i="23"/>
  <c r="L11" i="23"/>
  <c r="K193" i="23"/>
  <c r="K173" i="23"/>
  <c r="K165" i="23"/>
  <c r="I10" i="23"/>
  <c r="I11" i="23"/>
  <c r="L173" i="23"/>
  <c r="L193" i="23"/>
  <c r="H43" i="23"/>
  <c r="H75" i="23"/>
  <c r="H178" i="23"/>
  <c r="N194" i="26"/>
  <c r="I193" i="23"/>
  <c r="K137" i="13" l="1"/>
  <c r="K137" i="31"/>
  <c r="O75" i="33"/>
  <c r="O75" i="5"/>
  <c r="O148" i="33"/>
  <c r="O148" i="5"/>
  <c r="O132" i="33"/>
  <c r="O132" i="5"/>
  <c r="O107" i="33"/>
  <c r="O107" i="5"/>
  <c r="G12" i="33"/>
  <c r="O12" i="13"/>
  <c r="O66" i="33"/>
  <c r="O66" i="5"/>
  <c r="O78" i="33"/>
  <c r="O78" i="5"/>
  <c r="G55" i="13"/>
  <c r="G55" i="31"/>
  <c r="O55" i="31" s="1"/>
  <c r="Q75" i="23"/>
  <c r="H11" i="13"/>
  <c r="H11" i="33" s="1"/>
  <c r="H11" i="31"/>
  <c r="J157" i="13"/>
  <c r="J157" i="33" s="1"/>
  <c r="J157" i="31"/>
  <c r="H137" i="13"/>
  <c r="H137" i="33" s="1"/>
  <c r="H137" i="31"/>
  <c r="G25" i="33"/>
  <c r="O25" i="13"/>
  <c r="K40" i="5"/>
  <c r="K40" i="33"/>
  <c r="K23" i="5"/>
  <c r="K23" i="33"/>
  <c r="J137" i="13"/>
  <c r="J137" i="33" s="1"/>
  <c r="J137" i="31"/>
  <c r="O109" i="33"/>
  <c r="O109" i="5"/>
  <c r="O157" i="33"/>
  <c r="O157" i="5"/>
  <c r="H10" i="13"/>
  <c r="H10" i="33" s="1"/>
  <c r="H10" i="31"/>
  <c r="O73" i="33"/>
  <c r="O73" i="5"/>
  <c r="O152" i="33"/>
  <c r="O152" i="5"/>
  <c r="O59" i="33"/>
  <c r="O59" i="5"/>
  <c r="O60" i="33"/>
  <c r="O60" i="5"/>
  <c r="O130" i="33"/>
  <c r="O130" i="5"/>
  <c r="G96" i="33"/>
  <c r="O96" i="13"/>
  <c r="O101" i="33"/>
  <c r="O101" i="5"/>
  <c r="O113" i="33"/>
  <c r="O113" i="5"/>
  <c r="O147" i="33"/>
  <c r="O147" i="5"/>
  <c r="O18" i="33"/>
  <c r="O18" i="5"/>
  <c r="O97" i="33"/>
  <c r="O97" i="5"/>
  <c r="G142" i="13"/>
  <c r="G142" i="31"/>
  <c r="O142" i="31" s="1"/>
  <c r="Q178" i="23"/>
  <c r="I129" i="13"/>
  <c r="I129" i="33" s="1"/>
  <c r="I129" i="31"/>
  <c r="O150" i="33"/>
  <c r="O150" i="5"/>
  <c r="O50" i="33"/>
  <c r="O50" i="5"/>
  <c r="G146" i="33"/>
  <c r="O146" i="13"/>
  <c r="K156" i="5"/>
  <c r="K156" i="33"/>
  <c r="O31" i="33"/>
  <c r="O31" i="5"/>
  <c r="O49" i="33"/>
  <c r="O49" i="5"/>
  <c r="O41" i="33"/>
  <c r="O41" i="5"/>
  <c r="O26" i="33"/>
  <c r="O26" i="5"/>
  <c r="H157" i="13"/>
  <c r="H157" i="33" s="1"/>
  <c r="H157" i="31"/>
  <c r="G40" i="13"/>
  <c r="G40" i="31"/>
  <c r="O40" i="31" s="1"/>
  <c r="Q43" i="23"/>
  <c r="K11" i="13"/>
  <c r="K11" i="31"/>
  <c r="K157" i="13"/>
  <c r="K157" i="31"/>
  <c r="J129" i="13"/>
  <c r="J129" i="33" s="1"/>
  <c r="J129" i="31"/>
  <c r="K10" i="13"/>
  <c r="K10" i="33" s="1"/>
  <c r="K10" i="31"/>
  <c r="K141" i="5"/>
  <c r="K141" i="33"/>
  <c r="G143" i="33"/>
  <c r="O143" i="13"/>
  <c r="G23" i="33"/>
  <c r="O23" i="13"/>
  <c r="O88" i="33"/>
  <c r="O88" i="5"/>
  <c r="L165" i="23"/>
  <c r="H192" i="23"/>
  <c r="H177" i="23"/>
  <c r="H11" i="23"/>
  <c r="H10" i="23"/>
  <c r="I165" i="23"/>
  <c r="K11" i="5" l="1"/>
  <c r="K11" i="33"/>
  <c r="O12" i="33"/>
  <c r="O12" i="5"/>
  <c r="G11" i="13"/>
  <c r="G11" i="31"/>
  <c r="O11" i="31" s="1"/>
  <c r="Q11" i="23"/>
  <c r="O143" i="33"/>
  <c r="O143" i="5"/>
  <c r="O96" i="33"/>
  <c r="O96" i="5"/>
  <c r="O25" i="33"/>
  <c r="O25" i="5"/>
  <c r="K129" i="13"/>
  <c r="K129" i="31"/>
  <c r="G141" i="13"/>
  <c r="G141" i="31"/>
  <c r="O141" i="31" s="1"/>
  <c r="Q177" i="23"/>
  <c r="K157" i="5"/>
  <c r="K157" i="33"/>
  <c r="G142" i="33"/>
  <c r="O142" i="13"/>
  <c r="G10" i="13"/>
  <c r="G10" i="31"/>
  <c r="O10" i="31" s="1"/>
  <c r="Q10" i="23"/>
  <c r="O146" i="33"/>
  <c r="O146" i="5"/>
  <c r="H129" i="13"/>
  <c r="H129" i="33" s="1"/>
  <c r="H129" i="31"/>
  <c r="G156" i="13"/>
  <c r="G156" i="31"/>
  <c r="O156" i="31" s="1"/>
  <c r="Q192" i="23"/>
  <c r="O23" i="33"/>
  <c r="O23" i="5"/>
  <c r="G40" i="33"/>
  <c r="O40" i="13"/>
  <c r="G55" i="33"/>
  <c r="O55" i="13"/>
  <c r="K137" i="5"/>
  <c r="K137" i="33"/>
  <c r="H173" i="23"/>
  <c r="G10" i="33" l="1"/>
  <c r="O10" i="13"/>
  <c r="G156" i="33"/>
  <c r="O156" i="13"/>
  <c r="O142" i="33"/>
  <c r="O142" i="5"/>
  <c r="K129" i="5"/>
  <c r="K129" i="33"/>
  <c r="O40" i="33"/>
  <c r="O40" i="5"/>
  <c r="G141" i="33"/>
  <c r="O141" i="13"/>
  <c r="O55" i="33"/>
  <c r="O55" i="5"/>
  <c r="G137" i="13"/>
  <c r="G137" i="31"/>
  <c r="O137" i="31" s="1"/>
  <c r="Q173" i="23"/>
  <c r="G11" i="33"/>
  <c r="O11" i="13"/>
  <c r="H165" i="23"/>
  <c r="G129" i="13" l="1"/>
  <c r="G129" i="31"/>
  <c r="O129" i="31" s="1"/>
  <c r="Q165" i="23"/>
  <c r="O141" i="33"/>
  <c r="O141" i="5"/>
  <c r="O156" i="33"/>
  <c r="O156" i="5"/>
  <c r="O11" i="33"/>
  <c r="O11" i="5"/>
  <c r="G137" i="33"/>
  <c r="O137" i="13"/>
  <c r="O10" i="33"/>
  <c r="O10" i="5"/>
  <c r="I57" i="1"/>
  <c r="I56" i="1"/>
  <c r="H59" i="1"/>
  <c r="G59" i="1"/>
  <c r="O137" i="33" l="1"/>
  <c r="O137" i="5"/>
  <c r="G129" i="33"/>
  <c r="O129" i="13"/>
  <c r="I59" i="1"/>
  <c r="J175" i="4"/>
  <c r="J178" i="4"/>
  <c r="O129" i="33" l="1"/>
  <c r="O129" i="5"/>
  <c r="E13" i="3"/>
  <c r="E15" i="3"/>
  <c r="E16" i="3"/>
  <c r="D12" i="3"/>
  <c r="C12" i="3"/>
  <c r="F15" i="3"/>
  <c r="F7" i="10"/>
  <c r="E12" i="3" l="1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C24" i="7"/>
  <c r="C23" i="7"/>
  <c r="J15" i="1" l="1"/>
  <c r="K15" i="1" s="1"/>
  <c r="J16" i="1"/>
  <c r="K16" i="1" s="1"/>
  <c r="L43" i="1" l="1"/>
  <c r="I43" i="1"/>
  <c r="H13" i="5" l="1"/>
  <c r="I13" i="5"/>
  <c r="J13" i="5"/>
  <c r="G17" i="5"/>
  <c r="H17" i="5"/>
  <c r="I17" i="5"/>
  <c r="J17" i="5"/>
  <c r="H19" i="5"/>
  <c r="I19" i="5"/>
  <c r="J19" i="5"/>
  <c r="H20" i="5"/>
  <c r="I20" i="5"/>
  <c r="J20" i="5"/>
  <c r="G22" i="5"/>
  <c r="H22" i="5"/>
  <c r="I22" i="5"/>
  <c r="J22" i="5"/>
  <c r="H27" i="5"/>
  <c r="I27" i="5"/>
  <c r="J27" i="5"/>
  <c r="H29" i="5"/>
  <c r="I29" i="5"/>
  <c r="J29" i="5"/>
  <c r="H32" i="5"/>
  <c r="I32" i="5"/>
  <c r="J32" i="5"/>
  <c r="H33" i="5"/>
  <c r="I33" i="5"/>
  <c r="J33" i="5"/>
  <c r="H36" i="5"/>
  <c r="I36" i="5"/>
  <c r="J36" i="5"/>
  <c r="H37" i="5"/>
  <c r="I37" i="5"/>
  <c r="J37" i="5"/>
  <c r="H48" i="5"/>
  <c r="I48" i="5"/>
  <c r="J48" i="5"/>
  <c r="H58" i="5"/>
  <c r="I58" i="5"/>
  <c r="J58" i="5"/>
  <c r="H61" i="5"/>
  <c r="I61" i="5"/>
  <c r="J61" i="5"/>
  <c r="H63" i="5"/>
  <c r="I63" i="5"/>
  <c r="J63" i="5"/>
  <c r="H64" i="5"/>
  <c r="I64" i="5"/>
  <c r="J64" i="5"/>
  <c r="G65" i="5"/>
  <c r="H65" i="5"/>
  <c r="I65" i="5"/>
  <c r="J65" i="5"/>
  <c r="H85" i="5"/>
  <c r="I85" i="5"/>
  <c r="J85" i="5"/>
  <c r="H89" i="5"/>
  <c r="I89" i="5"/>
  <c r="J89" i="5"/>
  <c r="H103" i="5"/>
  <c r="I103" i="5"/>
  <c r="J103" i="5"/>
  <c r="H106" i="5"/>
  <c r="I106" i="5"/>
  <c r="J106" i="5"/>
  <c r="H110" i="5"/>
  <c r="I110" i="5"/>
  <c r="J110" i="5"/>
  <c r="H111" i="5"/>
  <c r="I111" i="5"/>
  <c r="J111" i="5"/>
  <c r="H112" i="5"/>
  <c r="I112" i="5"/>
  <c r="J112" i="5"/>
  <c r="G115" i="5"/>
  <c r="H115" i="5"/>
  <c r="I115" i="5"/>
  <c r="J115" i="5"/>
  <c r="G119" i="5"/>
  <c r="I119" i="4" s="1"/>
  <c r="H119" i="5"/>
  <c r="I119" i="5"/>
  <c r="J119" i="5"/>
  <c r="H120" i="5"/>
  <c r="I120" i="5"/>
  <c r="J120" i="5"/>
  <c r="H121" i="5"/>
  <c r="I121" i="5"/>
  <c r="J121" i="5"/>
  <c r="H127" i="5"/>
  <c r="I127" i="5"/>
  <c r="J127" i="5"/>
  <c r="H128" i="5"/>
  <c r="I128" i="5"/>
  <c r="J128" i="5"/>
  <c r="H134" i="5"/>
  <c r="I134" i="5"/>
  <c r="J134" i="5"/>
  <c r="G139" i="5"/>
  <c r="I139" i="4" s="1"/>
  <c r="H139" i="5"/>
  <c r="I139" i="5"/>
  <c r="J139" i="5"/>
  <c r="G140" i="5"/>
  <c r="H140" i="5"/>
  <c r="I140" i="5"/>
  <c r="J140" i="5"/>
  <c r="H145" i="5"/>
  <c r="I145" i="5"/>
  <c r="J145" i="5"/>
  <c r="H149" i="5"/>
  <c r="I149" i="5"/>
  <c r="J149" i="5"/>
  <c r="H152" i="5"/>
  <c r="I152" i="5"/>
  <c r="J152" i="5"/>
  <c r="H154" i="5"/>
  <c r="I154" i="5"/>
  <c r="J154" i="5"/>
  <c r="G159" i="5"/>
  <c r="H159" i="5"/>
  <c r="I159" i="5"/>
  <c r="J159" i="5"/>
  <c r="J133" i="5" l="1"/>
  <c r="H35" i="5"/>
  <c r="G15" i="3"/>
  <c r="H15" i="3" s="1"/>
  <c r="H24" i="5"/>
  <c r="H30" i="5"/>
  <c r="J16" i="5"/>
  <c r="J26" i="5"/>
  <c r="I35" i="5"/>
  <c r="J15" i="5"/>
  <c r="J14" i="5"/>
  <c r="J30" i="5"/>
  <c r="H28" i="5"/>
  <c r="F142" i="5"/>
  <c r="F143" i="5" s="1"/>
  <c r="F144" i="5" s="1"/>
  <c r="F145" i="5" s="1"/>
  <c r="F146" i="5" s="1"/>
  <c r="F147" i="5" s="1"/>
  <c r="F148" i="5" s="1"/>
  <c r="F149" i="5" s="1"/>
  <c r="F150" i="5" s="1"/>
  <c r="F151" i="5" s="1"/>
  <c r="F152" i="5" s="1"/>
  <c r="F153" i="5" s="1"/>
  <c r="F154" i="5" s="1"/>
  <c r="F155" i="5" s="1"/>
  <c r="F156" i="5" s="1"/>
  <c r="F157" i="5" s="1"/>
  <c r="F158" i="5" s="1"/>
  <c r="F159" i="5" s="1"/>
  <c r="F160" i="5" s="1"/>
  <c r="F161" i="5" s="1"/>
  <c r="F162" i="5" s="1"/>
  <c r="F11" i="5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83" i="5" s="1"/>
  <c r="F84" i="5" s="1"/>
  <c r="F85" i="5" s="1"/>
  <c r="F86" i="5" s="1"/>
  <c r="F87" i="5" s="1"/>
  <c r="F88" i="5" s="1"/>
  <c r="F89" i="5" s="1"/>
  <c r="F90" i="5" s="1"/>
  <c r="F91" i="5" s="1"/>
  <c r="F92" i="5" s="1"/>
  <c r="F93" i="5" s="1"/>
  <c r="F94" i="5" s="1"/>
  <c r="F95" i="5" s="1"/>
  <c r="F96" i="5" s="1"/>
  <c r="F97" i="5" s="1"/>
  <c r="F98" i="5" s="1"/>
  <c r="F99" i="5" s="1"/>
  <c r="F100" i="5" s="1"/>
  <c r="F101" i="5" s="1"/>
  <c r="F102" i="5" s="1"/>
  <c r="F103" i="5" s="1"/>
  <c r="F104" i="5" s="1"/>
  <c r="F105" i="5" s="1"/>
  <c r="F106" i="5" s="1"/>
  <c r="F107" i="5" s="1"/>
  <c r="F108" i="5" s="1"/>
  <c r="F109" i="5" s="1"/>
  <c r="F110" i="5" s="1"/>
  <c r="F111" i="5" s="1"/>
  <c r="F112" i="5" s="1"/>
  <c r="F113" i="5" s="1"/>
  <c r="F114" i="5" s="1"/>
  <c r="F115" i="5" s="1"/>
  <c r="F116" i="5" s="1"/>
  <c r="F117" i="5" s="1"/>
  <c r="F118" i="5" s="1"/>
  <c r="F119" i="5" s="1"/>
  <c r="F120" i="5" s="1"/>
  <c r="F121" i="5" s="1"/>
  <c r="F122" i="5" s="1"/>
  <c r="F123" i="5" s="1"/>
  <c r="F124" i="5" s="1"/>
  <c r="F125" i="5" s="1"/>
  <c r="F126" i="5" s="1"/>
  <c r="F127" i="5" s="1"/>
  <c r="F128" i="5" s="1"/>
  <c r="F129" i="5" s="1"/>
  <c r="F130" i="5" s="1"/>
  <c r="F131" i="5" s="1"/>
  <c r="F132" i="5" s="1"/>
  <c r="F133" i="5" s="1"/>
  <c r="F134" i="5" s="1"/>
  <c r="F135" i="5" s="1"/>
  <c r="F136" i="5" s="1"/>
  <c r="F137" i="5" s="1"/>
  <c r="F138" i="5" s="1"/>
  <c r="F139" i="5" s="1"/>
  <c r="F142" i="13"/>
  <c r="F143" i="13" s="1"/>
  <c r="F144" i="13" s="1"/>
  <c r="F145" i="13" s="1"/>
  <c r="F146" i="13" s="1"/>
  <c r="F147" i="13" s="1"/>
  <c r="F148" i="13" s="1"/>
  <c r="F149" i="13" s="1"/>
  <c r="F150" i="13" s="1"/>
  <c r="F151" i="13" s="1"/>
  <c r="F152" i="13" s="1"/>
  <c r="F153" i="13" s="1"/>
  <c r="F154" i="13" s="1"/>
  <c r="F155" i="13" s="1"/>
  <c r="F158" i="13"/>
  <c r="F11" i="13"/>
  <c r="F12" i="13" s="1"/>
  <c r="F13" i="13" s="1"/>
  <c r="F14" i="13" s="1"/>
  <c r="F15" i="13" s="1"/>
  <c r="F16" i="13" s="1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F27" i="13" s="1"/>
  <c r="F28" i="13" s="1"/>
  <c r="F29" i="13" s="1"/>
  <c r="F30" i="13" s="1"/>
  <c r="F31" i="13" s="1"/>
  <c r="F32" i="13" s="1"/>
  <c r="F33" i="13" s="1"/>
  <c r="F34" i="13" s="1"/>
  <c r="F35" i="13" s="1"/>
  <c r="F36" i="13" s="1"/>
  <c r="F37" i="13" s="1"/>
  <c r="F38" i="13" s="1"/>
  <c r="F39" i="13" s="1"/>
  <c r="F40" i="13" s="1"/>
  <c r="F41" i="13" s="1"/>
  <c r="F42" i="13" s="1"/>
  <c r="F43" i="13" s="1"/>
  <c r="F44" i="13" s="1"/>
  <c r="F45" i="13" s="1"/>
  <c r="F46" i="13" s="1"/>
  <c r="F47" i="13" s="1"/>
  <c r="F48" i="13" s="1"/>
  <c r="F49" i="13" s="1"/>
  <c r="F50" i="13" s="1"/>
  <c r="F51" i="13" s="1"/>
  <c r="F52" i="13" s="1"/>
  <c r="F53" i="13" s="1"/>
  <c r="F54" i="13" s="1"/>
  <c r="F55" i="13" s="1"/>
  <c r="F56" i="13" s="1"/>
  <c r="F57" i="13" s="1"/>
  <c r="F58" i="13" s="1"/>
  <c r="F59" i="13" s="1"/>
  <c r="F60" i="13" s="1"/>
  <c r="F61" i="13" s="1"/>
  <c r="F62" i="13" s="1"/>
  <c r="F63" i="13" s="1"/>
  <c r="F64" i="13" s="1"/>
  <c r="F65" i="13" s="1"/>
  <c r="F66" i="13" s="1"/>
  <c r="F67" i="13" s="1"/>
  <c r="F68" i="13" s="1"/>
  <c r="F69" i="13" s="1"/>
  <c r="F70" i="13" s="1"/>
  <c r="F71" i="13" s="1"/>
  <c r="F72" i="13" s="1"/>
  <c r="F73" i="13" s="1"/>
  <c r="F74" i="13" s="1"/>
  <c r="F75" i="13" s="1"/>
  <c r="F76" i="13" s="1"/>
  <c r="F77" i="13" s="1"/>
  <c r="F78" i="13" s="1"/>
  <c r="F79" i="13" s="1"/>
  <c r="F80" i="13" s="1"/>
  <c r="F81" i="13" s="1"/>
  <c r="F82" i="13" s="1"/>
  <c r="F83" i="13" s="1"/>
  <c r="F84" i="13" s="1"/>
  <c r="F85" i="13" s="1"/>
  <c r="F86" i="13" s="1"/>
  <c r="F87" i="13" s="1"/>
  <c r="F88" i="13" s="1"/>
  <c r="F89" i="13" s="1"/>
  <c r="F90" i="13" s="1"/>
  <c r="F91" i="13" s="1"/>
  <c r="F92" i="13" s="1"/>
  <c r="F93" i="13" s="1"/>
  <c r="F94" i="13" s="1"/>
  <c r="F95" i="13" s="1"/>
  <c r="F96" i="13" s="1"/>
  <c r="F97" i="13" s="1"/>
  <c r="F98" i="13" s="1"/>
  <c r="F99" i="13" s="1"/>
  <c r="F100" i="13" s="1"/>
  <c r="F101" i="13" s="1"/>
  <c r="F102" i="13" s="1"/>
  <c r="F103" i="13" s="1"/>
  <c r="F104" i="13" s="1"/>
  <c r="F105" i="13" s="1"/>
  <c r="F106" i="13" s="1"/>
  <c r="F107" i="13" s="1"/>
  <c r="F108" i="13" s="1"/>
  <c r="F109" i="13" s="1"/>
  <c r="F110" i="13" s="1"/>
  <c r="F111" i="13" s="1"/>
  <c r="F112" i="13" s="1"/>
  <c r="F113" i="13" s="1"/>
  <c r="F114" i="13" s="1"/>
  <c r="F115" i="13" s="1"/>
  <c r="F116" i="13" s="1"/>
  <c r="F117" i="13" s="1"/>
  <c r="F118" i="13" s="1"/>
  <c r="F119" i="13" s="1"/>
  <c r="F120" i="13" s="1"/>
  <c r="F121" i="13" s="1"/>
  <c r="F122" i="13" s="1"/>
  <c r="F123" i="13" s="1"/>
  <c r="F124" i="13" s="1"/>
  <c r="F125" i="13" s="1"/>
  <c r="F126" i="13" s="1"/>
  <c r="F127" i="13" s="1"/>
  <c r="F128" i="13" s="1"/>
  <c r="F129" i="13" s="1"/>
  <c r="F130" i="13" s="1"/>
  <c r="F131" i="13" s="1"/>
  <c r="F132" i="13" s="1"/>
  <c r="F133" i="13" s="1"/>
  <c r="F134" i="13" s="1"/>
  <c r="F135" i="13" s="1"/>
  <c r="F136" i="13" s="1"/>
  <c r="F137" i="13" s="1"/>
  <c r="F138" i="13" s="1"/>
  <c r="F139" i="13" s="1"/>
  <c r="I34" i="5"/>
  <c r="H34" i="5"/>
  <c r="J28" i="5"/>
  <c r="I28" i="5"/>
  <c r="I26" i="5"/>
  <c r="H26" i="5"/>
  <c r="G27" i="5"/>
  <c r="I24" i="5"/>
  <c r="J21" i="5"/>
  <c r="I21" i="5"/>
  <c r="I16" i="5"/>
  <c r="H16" i="5"/>
  <c r="H15" i="5"/>
  <c r="G13" i="5"/>
  <c r="I143" i="5" l="1"/>
  <c r="I138" i="5"/>
  <c r="I160" i="5" s="1"/>
  <c r="J138" i="5"/>
  <c r="J160" i="5" s="1"/>
  <c r="I82" i="5"/>
  <c r="I56" i="5"/>
  <c r="J86" i="5"/>
  <c r="I62" i="5"/>
  <c r="I153" i="5"/>
  <c r="H144" i="5"/>
  <c r="J144" i="5"/>
  <c r="J57" i="5"/>
  <c r="I133" i="5"/>
  <c r="I86" i="5"/>
  <c r="J148" i="5"/>
  <c r="I151" i="5"/>
  <c r="I144" i="5"/>
  <c r="J82" i="5"/>
  <c r="H133" i="5"/>
  <c r="I148" i="5"/>
  <c r="H138" i="5"/>
  <c r="H160" i="5" s="1"/>
  <c r="J143" i="5"/>
  <c r="H143" i="5"/>
  <c r="I30" i="5"/>
  <c r="H14" i="5"/>
  <c r="I15" i="5"/>
  <c r="H21" i="5"/>
  <c r="J35" i="5"/>
  <c r="J34" i="5"/>
  <c r="I83" i="5"/>
  <c r="J151" i="5"/>
  <c r="H151" i="5"/>
  <c r="J83" i="5"/>
  <c r="J24" i="5"/>
  <c r="J162" i="4"/>
  <c r="J163" i="4"/>
  <c r="F11" i="4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8" i="4" s="1"/>
  <c r="F159" i="4" s="1"/>
  <c r="F48" i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G128" i="5"/>
  <c r="G127" i="5"/>
  <c r="G58" i="5"/>
  <c r="G37" i="5"/>
  <c r="G36" i="5"/>
  <c r="G33" i="5"/>
  <c r="G32" i="5"/>
  <c r="I31" i="5"/>
  <c r="G29" i="5"/>
  <c r="J25" i="5"/>
  <c r="G20" i="5"/>
  <c r="J18" i="5"/>
  <c r="I18" i="5"/>
  <c r="H18" i="5"/>
  <c r="J12" i="5"/>
  <c r="G16" i="5" l="1"/>
  <c r="G28" i="5"/>
  <c r="G63" i="5"/>
  <c r="G85" i="5"/>
  <c r="H109" i="5"/>
  <c r="G110" i="5"/>
  <c r="G121" i="5"/>
  <c r="G134" i="5"/>
  <c r="G152" i="5"/>
  <c r="G61" i="5"/>
  <c r="G89" i="5"/>
  <c r="I109" i="5"/>
  <c r="G111" i="5"/>
  <c r="G154" i="5"/>
  <c r="G103" i="5"/>
  <c r="J109" i="5"/>
  <c r="G112" i="5"/>
  <c r="G48" i="5"/>
  <c r="G64" i="5"/>
  <c r="G106" i="5"/>
  <c r="G120" i="5"/>
  <c r="G145" i="5"/>
  <c r="G149" i="5"/>
  <c r="I150" i="5"/>
  <c r="J153" i="5"/>
  <c r="H150" i="5"/>
  <c r="J108" i="5"/>
  <c r="H57" i="5"/>
  <c r="I108" i="5"/>
  <c r="J147" i="5"/>
  <c r="H108" i="5"/>
  <c r="H153" i="5"/>
  <c r="J150" i="5"/>
  <c r="G144" i="5"/>
  <c r="G143" i="5"/>
  <c r="G133" i="5"/>
  <c r="G138" i="5"/>
  <c r="G160" i="5" s="1"/>
  <c r="J31" i="5"/>
  <c r="G18" i="5"/>
  <c r="G19" i="5"/>
  <c r="H82" i="5"/>
  <c r="I147" i="5"/>
  <c r="H86" i="5"/>
  <c r="H148" i="5"/>
  <c r="H83" i="5"/>
  <c r="G151" i="5"/>
  <c r="I14" i="5"/>
  <c r="I12" i="5"/>
  <c r="J142" i="5"/>
  <c r="H142" i="5"/>
  <c r="G26" i="5"/>
  <c r="I23" i="5"/>
  <c r="I25" i="5"/>
  <c r="H23" i="5"/>
  <c r="H25" i="5"/>
  <c r="I142" i="5"/>
  <c r="H31" i="5"/>
  <c r="G25" i="5" l="1"/>
  <c r="G34" i="5"/>
  <c r="G30" i="5"/>
  <c r="G14" i="5"/>
  <c r="G21" i="5"/>
  <c r="G109" i="5"/>
  <c r="J141" i="5"/>
  <c r="I146" i="5"/>
  <c r="H141" i="5"/>
  <c r="I141" i="5"/>
  <c r="J146" i="5"/>
  <c r="G150" i="5"/>
  <c r="G108" i="5"/>
  <c r="G86" i="5"/>
  <c r="G148" i="5"/>
  <c r="G82" i="5"/>
  <c r="G153" i="5"/>
  <c r="G83" i="5"/>
  <c r="H147" i="5"/>
  <c r="J23" i="5"/>
  <c r="G15" i="5"/>
  <c r="G24" i="5"/>
  <c r="G142" i="5"/>
  <c r="G35" i="5"/>
  <c r="H12" i="5"/>
  <c r="G23" i="5" l="1"/>
  <c r="G31" i="5"/>
  <c r="J137" i="5"/>
  <c r="I156" i="5"/>
  <c r="H146" i="5"/>
  <c r="J156" i="5"/>
  <c r="H156" i="5"/>
  <c r="G147" i="5"/>
  <c r="G141" i="5"/>
  <c r="G12" i="5"/>
  <c r="H166" i="4"/>
  <c r="J10" i="5"/>
  <c r="J11" i="5"/>
  <c r="H137" i="5"/>
  <c r="H10" i="5"/>
  <c r="H11" i="5"/>
  <c r="I10" i="5"/>
  <c r="I11" i="5"/>
  <c r="I137" i="5"/>
  <c r="K10" i="5"/>
  <c r="F14" i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J157" i="5" l="1"/>
  <c r="I157" i="5"/>
  <c r="H157" i="5"/>
  <c r="G146" i="5"/>
  <c r="G156" i="5"/>
  <c r="I156" i="4" s="1"/>
  <c r="J156" i="4" s="1"/>
  <c r="G157" i="5"/>
  <c r="G137" i="5"/>
  <c r="G11" i="5"/>
  <c r="G10" i="5" l="1"/>
  <c r="M57" i="1" l="1"/>
  <c r="L56" i="1"/>
  <c r="L57" i="1"/>
  <c r="M56" i="1"/>
  <c r="L59" i="1"/>
  <c r="M59" i="1"/>
  <c r="D23" i="2"/>
  <c r="E23" i="2"/>
  <c r="G23" i="2"/>
  <c r="I23" i="2"/>
  <c r="J38" i="1" l="1"/>
  <c r="K38" i="1" s="1"/>
  <c r="J39" i="1"/>
  <c r="K39" i="1" s="1"/>
  <c r="I13" i="4" l="1"/>
  <c r="I17" i="4"/>
  <c r="I65" i="4"/>
  <c r="I127" i="4"/>
  <c r="I128" i="4"/>
  <c r="I133" i="4"/>
  <c r="I134" i="4"/>
  <c r="I138" i="4"/>
  <c r="I143" i="4"/>
  <c r="I144" i="4"/>
  <c r="I145" i="4"/>
  <c r="I149" i="4"/>
  <c r="I152" i="4"/>
  <c r="I153" i="4"/>
  <c r="I154" i="4"/>
  <c r="I157" i="4"/>
  <c r="I150" i="4" l="1"/>
  <c r="I151" i="4"/>
  <c r="I147" i="4"/>
  <c r="I148" i="4"/>
  <c r="I146" i="4" l="1"/>
  <c r="I142" i="4"/>
  <c r="G14" i="3"/>
  <c r="F14" i="3"/>
  <c r="I137" i="4" l="1"/>
  <c r="I141" i="4"/>
  <c r="I111" i="4"/>
  <c r="I112" i="4"/>
  <c r="I110" i="4"/>
  <c r="I106" i="4"/>
  <c r="I108" i="4"/>
  <c r="I103" i="4"/>
  <c r="I120" i="4"/>
  <c r="J120" i="4" s="1"/>
  <c r="I121" i="4"/>
  <c r="I89" i="4" l="1"/>
  <c r="I82" i="4" l="1"/>
  <c r="I83" i="4"/>
  <c r="I85" i="4"/>
  <c r="I86" i="4"/>
  <c r="J86" i="4" s="1"/>
  <c r="I61" i="4"/>
  <c r="I63" i="4"/>
  <c r="I64" i="4"/>
  <c r="I58" i="4"/>
  <c r="I48" i="4" l="1"/>
  <c r="I37" i="4" l="1"/>
  <c r="I36" i="4"/>
  <c r="I35" i="4"/>
  <c r="I34" i="4"/>
  <c r="I33" i="4"/>
  <c r="I32" i="4"/>
  <c r="I29" i="4"/>
  <c r="I28" i="4"/>
  <c r="I27" i="4"/>
  <c r="I26" i="4"/>
  <c r="I24" i="4"/>
  <c r="I22" i="4"/>
  <c r="I20" i="4"/>
  <c r="I19" i="4"/>
  <c r="I21" i="4"/>
  <c r="I15" i="4"/>
  <c r="I16" i="4"/>
  <c r="J16" i="4" s="1"/>
  <c r="I14" i="4"/>
  <c r="I31" i="4" l="1"/>
  <c r="I25" i="4"/>
  <c r="I30" i="4"/>
  <c r="I23" i="4" l="1"/>
  <c r="F26" i="10"/>
  <c r="B26" i="10"/>
  <c r="B24" i="10"/>
  <c r="F24" i="10"/>
  <c r="B23" i="10"/>
  <c r="F12" i="10"/>
  <c r="F11" i="10"/>
  <c r="F10" i="10"/>
  <c r="F9" i="10"/>
  <c r="C13" i="8"/>
  <c r="B9" i="10" s="1"/>
  <c r="G7" i="10"/>
  <c r="C7" i="10"/>
  <c r="B7" i="10"/>
  <c r="G6" i="10"/>
  <c r="F6" i="10"/>
  <c r="C6" i="10"/>
  <c r="B6" i="10"/>
  <c r="I109" i="4"/>
  <c r="I12" i="4"/>
  <c r="H26" i="10" l="1"/>
  <c r="F5" i="10"/>
  <c r="F13" i="3"/>
  <c r="I7" i="10"/>
  <c r="H7" i="10"/>
  <c r="G5" i="10"/>
  <c r="G13" i="3"/>
  <c r="I6" i="10"/>
  <c r="H9" i="10"/>
  <c r="H6" i="10"/>
  <c r="H24" i="10"/>
  <c r="C18" i="8"/>
  <c r="E18" i="8"/>
  <c r="F18" i="8"/>
  <c r="G18" i="8"/>
  <c r="I18" i="8"/>
  <c r="K18" i="8"/>
  <c r="E13" i="8"/>
  <c r="F13" i="8"/>
  <c r="G13" i="8"/>
  <c r="I13" i="8"/>
  <c r="K13" i="8"/>
  <c r="D14" i="8"/>
  <c r="D15" i="8"/>
  <c r="H15" i="8" s="1"/>
  <c r="J15" i="8" s="1"/>
  <c r="L15" i="8" s="1"/>
  <c r="D19" i="8"/>
  <c r="D20" i="8"/>
  <c r="H20" i="8" s="1"/>
  <c r="J20" i="8" s="1"/>
  <c r="L20" i="8" s="1"/>
  <c r="I18" i="4"/>
  <c r="H13" i="3" l="1"/>
  <c r="D13" i="8"/>
  <c r="D18" i="8"/>
  <c r="B5" i="10"/>
  <c r="H5" i="10" s="1"/>
  <c r="C5" i="10"/>
  <c r="I5" i="10" s="1"/>
  <c r="H19" i="8"/>
  <c r="H14" i="8"/>
  <c r="H13" i="8" s="1"/>
  <c r="B10" i="10" s="1"/>
  <c r="H10" i="10" s="1"/>
  <c r="I11" i="4"/>
  <c r="H33" i="1"/>
  <c r="J33" i="1" s="1"/>
  <c r="K33" i="1" s="1"/>
  <c r="G33" i="1"/>
  <c r="H28" i="1"/>
  <c r="J28" i="1" s="1"/>
  <c r="K28" i="1" s="1"/>
  <c r="G28" i="1"/>
  <c r="H18" i="1"/>
  <c r="J18" i="1" s="1"/>
  <c r="K18" i="1" s="1"/>
  <c r="G18" i="1"/>
  <c r="H17" i="1"/>
  <c r="J17" i="1" s="1"/>
  <c r="K17" i="1" s="1"/>
  <c r="J147" i="4"/>
  <c r="H27" i="1"/>
  <c r="J27" i="1" s="1"/>
  <c r="K27" i="1" s="1"/>
  <c r="G27" i="1"/>
  <c r="J31" i="4"/>
  <c r="J12" i="4"/>
  <c r="J14" i="4"/>
  <c r="J15" i="4"/>
  <c r="J21" i="4"/>
  <c r="J24" i="4"/>
  <c r="J30" i="4"/>
  <c r="J34" i="4"/>
  <c r="J35" i="4"/>
  <c r="J141" i="4"/>
  <c r="J143" i="4"/>
  <c r="J144" i="4"/>
  <c r="J148" i="4"/>
  <c r="J153" i="4"/>
  <c r="F16" i="3"/>
  <c r="B8" i="10" s="1"/>
  <c r="M43" i="1"/>
  <c r="M61" i="1"/>
  <c r="M62" i="1"/>
  <c r="I166" i="4" l="1"/>
  <c r="H14" i="1"/>
  <c r="F12" i="3"/>
  <c r="M17" i="1"/>
  <c r="G8" i="10"/>
  <c r="G16" i="3"/>
  <c r="J142" i="4"/>
  <c r="H18" i="8"/>
  <c r="J19" i="8"/>
  <c r="G17" i="1"/>
  <c r="I17" i="1" s="1"/>
  <c r="J14" i="8"/>
  <c r="J13" i="8" s="1"/>
  <c r="B11" i="10" s="1"/>
  <c r="H11" i="10" s="1"/>
  <c r="F8" i="10"/>
  <c r="H8" i="10" s="1"/>
  <c r="J14" i="1"/>
  <c r="K14" i="1" s="1"/>
  <c r="J23" i="4"/>
  <c r="L14" i="8" l="1"/>
  <c r="L13" i="8" s="1"/>
  <c r="B12" i="10" s="1"/>
  <c r="H12" i="10" s="1"/>
  <c r="G12" i="3"/>
  <c r="H12" i="3" s="1"/>
  <c r="H16" i="3"/>
  <c r="G14" i="1"/>
  <c r="J166" i="4"/>
  <c r="L17" i="1"/>
  <c r="L14" i="1"/>
  <c r="I10" i="4"/>
  <c r="C8" i="10"/>
  <c r="I8" i="10" s="1"/>
  <c r="J11" i="4"/>
  <c r="L19" i="8"/>
  <c r="L18" i="8" s="1"/>
  <c r="J18" i="8"/>
  <c r="H32" i="1"/>
  <c r="J32" i="1" s="1"/>
  <c r="K32" i="1" s="1"/>
  <c r="H13" i="1"/>
  <c r="J13" i="1" s="1"/>
  <c r="K13" i="1" s="1"/>
  <c r="G65" i="1" l="1"/>
  <c r="I14" i="1"/>
  <c r="G13" i="1"/>
  <c r="I13" i="1" s="1"/>
  <c r="M32" i="1"/>
  <c r="J65" i="1"/>
  <c r="L13" i="1"/>
  <c r="J10" i="4"/>
  <c r="L32" i="1" l="1"/>
  <c r="M14" i="1"/>
  <c r="K65" i="1"/>
  <c r="M13" i="1" l="1"/>
  <c r="M65" i="1" l="1"/>
  <c r="J80" i="5" l="1"/>
  <c r="J56" i="5"/>
  <c r="J74" i="5"/>
  <c r="J79" i="5"/>
  <c r="I80" i="5" l="1"/>
  <c r="J62" i="5"/>
  <c r="I93" i="5"/>
  <c r="I67" i="5"/>
  <c r="J68" i="5"/>
  <c r="I70" i="5"/>
  <c r="J91" i="5"/>
  <c r="J70" i="5"/>
  <c r="I74" i="5"/>
  <c r="J131" i="5"/>
  <c r="I71" i="5"/>
  <c r="J93" i="5"/>
  <c r="H91" i="5"/>
  <c r="I91" i="5"/>
  <c r="J107" i="5"/>
  <c r="F3" i="10"/>
  <c r="H79" i="5"/>
  <c r="H56" i="5"/>
  <c r="I79" i="5"/>
  <c r="I107" i="5"/>
  <c r="J60" i="5"/>
  <c r="I60" i="5"/>
  <c r="H80" i="5"/>
  <c r="J75" i="5"/>
  <c r="J151" i="4"/>
  <c r="J69" i="5" l="1"/>
  <c r="H60" i="5"/>
  <c r="J72" i="5"/>
  <c r="H69" i="5"/>
  <c r="J59" i="5"/>
  <c r="H71" i="5"/>
  <c r="I68" i="5"/>
  <c r="I131" i="5"/>
  <c r="I59" i="5"/>
  <c r="J73" i="5"/>
  <c r="H75" i="5"/>
  <c r="H68" i="5"/>
  <c r="J67" i="5"/>
  <c r="H52" i="5"/>
  <c r="I52" i="5"/>
  <c r="J71" i="5"/>
  <c r="G91" i="5"/>
  <c r="I91" i="4" s="1"/>
  <c r="J91" i="4" s="1"/>
  <c r="G79" i="5"/>
  <c r="I79" i="4" s="1"/>
  <c r="J79" i="4" s="1"/>
  <c r="G80" i="5"/>
  <c r="I80" i="4" s="1"/>
  <c r="J80" i="4" s="1"/>
  <c r="G56" i="5"/>
  <c r="I56" i="4" s="1"/>
  <c r="J56" i="4" s="1"/>
  <c r="G25" i="1"/>
  <c r="B3" i="10" s="1"/>
  <c r="H3" i="10" s="1"/>
  <c r="H161" i="4"/>
  <c r="H164" i="4" s="1"/>
  <c r="G30" i="1"/>
  <c r="J137" i="4"/>
  <c r="J157" i="4"/>
  <c r="J138" i="4"/>
  <c r="J150" i="4"/>
  <c r="H67" i="5"/>
  <c r="H93" i="5"/>
  <c r="I75" i="5"/>
  <c r="H107" i="5"/>
  <c r="H70" i="5"/>
  <c r="H62" i="5"/>
  <c r="H74" i="5"/>
  <c r="H73" i="5" l="1"/>
  <c r="J66" i="5"/>
  <c r="I104" i="5"/>
  <c r="H72" i="5"/>
  <c r="I73" i="5"/>
  <c r="H104" i="5"/>
  <c r="J104" i="5"/>
  <c r="H66" i="5"/>
  <c r="H59" i="5"/>
  <c r="I72" i="5"/>
  <c r="G62" i="5"/>
  <c r="I62" i="4" s="1"/>
  <c r="J62" i="4" s="1"/>
  <c r="G93" i="5"/>
  <c r="I93" i="4" s="1"/>
  <c r="J93" i="4" s="1"/>
  <c r="G74" i="5"/>
  <c r="I74" i="4" s="1"/>
  <c r="J74" i="4" s="1"/>
  <c r="G70" i="5"/>
  <c r="I70" i="4" s="1"/>
  <c r="J70" i="4" s="1"/>
  <c r="G67" i="5"/>
  <c r="I67" i="4" s="1"/>
  <c r="J67" i="4" s="1"/>
  <c r="G71" i="5"/>
  <c r="I71" i="4" s="1"/>
  <c r="J71" i="4" s="1"/>
  <c r="G107" i="5"/>
  <c r="I107" i="4" s="1"/>
  <c r="J107" i="4" s="1"/>
  <c r="G31" i="1"/>
  <c r="G29" i="1"/>
  <c r="G22" i="1"/>
  <c r="G32" i="1"/>
  <c r="I32" i="1" s="1"/>
  <c r="J146" i="4"/>
  <c r="G64" i="1"/>
  <c r="G75" i="5"/>
  <c r="I75" i="4" s="1"/>
  <c r="H131" i="5"/>
  <c r="I57" i="5"/>
  <c r="J52" i="5" l="1"/>
  <c r="I69" i="5"/>
  <c r="G60" i="5"/>
  <c r="I60" i="4" s="1"/>
  <c r="J60" i="4" s="1"/>
  <c r="G131" i="5"/>
  <c r="I131" i="4" s="1"/>
  <c r="J131" i="4" s="1"/>
  <c r="G73" i="5"/>
  <c r="I73" i="4" s="1"/>
  <c r="J73" i="4" s="1"/>
  <c r="G104" i="5"/>
  <c r="I104" i="4" s="1"/>
  <c r="J104" i="4" s="1"/>
  <c r="G72" i="5"/>
  <c r="I72" i="4" s="1"/>
  <c r="J72" i="4" s="1"/>
  <c r="G59" i="5"/>
  <c r="I59" i="4" s="1"/>
  <c r="J59" i="4" s="1"/>
  <c r="G57" i="5"/>
  <c r="I57" i="4" s="1"/>
  <c r="J57" i="4" s="1"/>
  <c r="J75" i="4"/>
  <c r="G23" i="1"/>
  <c r="I66" i="5" l="1"/>
  <c r="G69" i="5"/>
  <c r="I69" i="4" s="1"/>
  <c r="G68" i="5"/>
  <c r="I68" i="4" s="1"/>
  <c r="J68" i="4" s="1"/>
  <c r="H160" i="4"/>
  <c r="H165" i="4" s="1"/>
  <c r="F4" i="10"/>
  <c r="G26" i="1"/>
  <c r="G24" i="1" l="1"/>
  <c r="G63" i="1" s="1"/>
  <c r="B4" i="10"/>
  <c r="H4" i="10"/>
  <c r="G66" i="5"/>
  <c r="I66" i="4" s="1"/>
  <c r="J66" i="4" s="1"/>
  <c r="G52" i="5"/>
  <c r="I52" i="4" s="1"/>
  <c r="J52" i="4" s="1"/>
  <c r="G21" i="1" l="1"/>
  <c r="G20" i="1" l="1"/>
  <c r="G19" i="1" s="1"/>
  <c r="L62" i="1"/>
  <c r="H65" i="1"/>
  <c r="I62" i="1"/>
  <c r="G34" i="1" l="1"/>
  <c r="G67" i="1"/>
  <c r="L61" i="1"/>
  <c r="I61" i="1"/>
  <c r="I65" i="1"/>
  <c r="L65" i="1"/>
  <c r="G37" i="1" l="1"/>
  <c r="G35" i="1" l="1"/>
  <c r="G36" i="1" l="1"/>
  <c r="G48" i="1" s="1"/>
  <c r="G40" i="1" l="1"/>
  <c r="G42" i="1" s="1"/>
  <c r="J135" i="5" l="1"/>
  <c r="J54" i="5"/>
  <c r="J46" i="5"/>
  <c r="I117" i="5"/>
  <c r="J98" i="5"/>
  <c r="J42" i="5"/>
  <c r="I116" i="5"/>
  <c r="J81" i="5"/>
  <c r="I105" i="5" l="1"/>
  <c r="I92" i="5"/>
  <c r="J136" i="5"/>
  <c r="J47" i="5"/>
  <c r="H54" i="5"/>
  <c r="I136" i="5"/>
  <c r="I53" i="5"/>
  <c r="J92" i="5"/>
  <c r="J105" i="5"/>
  <c r="I135" i="5"/>
  <c r="I99" i="5"/>
  <c r="I42" i="5"/>
  <c r="I100" i="5"/>
  <c r="J99" i="5"/>
  <c r="I77" i="5"/>
  <c r="J53" i="5"/>
  <c r="J77" i="5"/>
  <c r="I46" i="5"/>
  <c r="J117" i="5"/>
  <c r="H76" i="5"/>
  <c r="I90" i="5"/>
  <c r="H100" i="5"/>
  <c r="H90" i="5"/>
  <c r="H51" i="5"/>
  <c r="I98" i="5"/>
  <c r="I76" i="5"/>
  <c r="H105" i="5"/>
  <c r="J90" i="5"/>
  <c r="H99" i="5"/>
  <c r="I81" i="5"/>
  <c r="J76" i="5"/>
  <c r="H114" i="5"/>
  <c r="I114" i="5"/>
  <c r="H77" i="5"/>
  <c r="H118" i="5" l="1"/>
  <c r="J116" i="5"/>
  <c r="I118" i="5"/>
  <c r="I113" i="5"/>
  <c r="J118" i="5"/>
  <c r="J87" i="5"/>
  <c r="I51" i="5"/>
  <c r="I94" i="5"/>
  <c r="H116" i="5"/>
  <c r="J94" i="5"/>
  <c r="I45" i="5"/>
  <c r="H84" i="5"/>
  <c r="I47" i="5"/>
  <c r="J45" i="5"/>
  <c r="G105" i="5"/>
  <c r="I105" i="4" s="1"/>
  <c r="J105" i="4" s="1"/>
  <c r="G99" i="5"/>
  <c r="I99" i="4" s="1"/>
  <c r="J99" i="4" s="1"/>
  <c r="J132" i="5"/>
  <c r="H113" i="5"/>
  <c r="H136" i="5"/>
  <c r="H46" i="5"/>
  <c r="H135" i="5"/>
  <c r="H42" i="5"/>
  <c r="G76" i="5"/>
  <c r="I76" i="4" s="1"/>
  <c r="I132" i="5"/>
  <c r="H92" i="5"/>
  <c r="J100" i="5"/>
  <c r="H87" i="5"/>
  <c r="H98" i="5"/>
  <c r="H53" i="5"/>
  <c r="H132" i="5"/>
  <c r="J50" i="5"/>
  <c r="I97" i="5"/>
  <c r="H81" i="5"/>
  <c r="H117" i="5"/>
  <c r="J114" i="5"/>
  <c r="H45" i="5"/>
  <c r="I50" i="5"/>
  <c r="I54" i="5"/>
  <c r="G90" i="5"/>
  <c r="I90" i="4" s="1"/>
  <c r="J113" i="5" l="1"/>
  <c r="J88" i="5"/>
  <c r="I88" i="5"/>
  <c r="I49" i="5"/>
  <c r="J44" i="5"/>
  <c r="J51" i="5"/>
  <c r="G100" i="5"/>
  <c r="I100" i="4" s="1"/>
  <c r="J100" i="4" s="1"/>
  <c r="I87" i="5"/>
  <c r="I44" i="5"/>
  <c r="J130" i="5"/>
  <c r="G135" i="5"/>
  <c r="I135" i="4" s="1"/>
  <c r="G46" i="5"/>
  <c r="I46" i="4" s="1"/>
  <c r="J46" i="4" s="1"/>
  <c r="G54" i="5"/>
  <c r="I54" i="4" s="1"/>
  <c r="J54" i="4" s="1"/>
  <c r="G45" i="5"/>
  <c r="I45" i="4" s="1"/>
  <c r="J45" i="4" s="1"/>
  <c r="G81" i="5"/>
  <c r="I81" i="4" s="1"/>
  <c r="J81" i="4" s="1"/>
  <c r="G92" i="5"/>
  <c r="I92" i="4" s="1"/>
  <c r="J92" i="4" s="1"/>
  <c r="G53" i="5"/>
  <c r="I53" i="4" s="1"/>
  <c r="J53" i="4" s="1"/>
  <c r="G77" i="5"/>
  <c r="I77" i="4" s="1"/>
  <c r="J77" i="4" s="1"/>
  <c r="G117" i="5"/>
  <c r="I117" i="4" s="1"/>
  <c r="J117" i="4" s="1"/>
  <c r="G136" i="5"/>
  <c r="I136" i="4" s="1"/>
  <c r="J136" i="4" s="1"/>
  <c r="H78" i="5"/>
  <c r="H130" i="5"/>
  <c r="G98" i="5"/>
  <c r="I98" i="4" s="1"/>
  <c r="J97" i="5"/>
  <c r="H44" i="5"/>
  <c r="J90" i="4"/>
  <c r="I43" i="5"/>
  <c r="I130" i="5"/>
  <c r="J76" i="4"/>
  <c r="G42" i="5"/>
  <c r="I42" i="4" s="1"/>
  <c r="J84" i="5"/>
  <c r="H94" i="5"/>
  <c r="H50" i="5"/>
  <c r="J43" i="5"/>
  <c r="G114" i="5"/>
  <c r="I114" i="4" s="1"/>
  <c r="I84" i="5"/>
  <c r="G132" i="5"/>
  <c r="I132" i="4" s="1"/>
  <c r="H97" i="5"/>
  <c r="H43" i="5"/>
  <c r="H47" i="5"/>
  <c r="G118" i="5" l="1"/>
  <c r="I118" i="4" s="1"/>
  <c r="H55" i="5"/>
  <c r="J129" i="5"/>
  <c r="I129" i="5"/>
  <c r="H49" i="5"/>
  <c r="H129" i="5"/>
  <c r="H88" i="5"/>
  <c r="J49" i="5"/>
  <c r="H41" i="5"/>
  <c r="G47" i="5"/>
  <c r="I47" i="4" s="1"/>
  <c r="J47" i="4" s="1"/>
  <c r="G44" i="5"/>
  <c r="I44" i="4" s="1"/>
  <c r="J44" i="4" s="1"/>
  <c r="G87" i="5"/>
  <c r="I87" i="4" s="1"/>
  <c r="J87" i="4" s="1"/>
  <c r="G51" i="5"/>
  <c r="I51" i="4" s="1"/>
  <c r="J51" i="4" s="1"/>
  <c r="G84" i="5"/>
  <c r="I84" i="4" s="1"/>
  <c r="J84" i="4" s="1"/>
  <c r="G43" i="5"/>
  <c r="I43" i="4" s="1"/>
  <c r="J43" i="4" s="1"/>
  <c r="G116" i="5"/>
  <c r="G113" i="5"/>
  <c r="I113" i="4" s="1"/>
  <c r="J113" i="4" s="1"/>
  <c r="G130" i="5"/>
  <c r="I130" i="4" s="1"/>
  <c r="G97" i="5"/>
  <c r="I97" i="4" s="1"/>
  <c r="I78" i="5"/>
  <c r="J114" i="4"/>
  <c r="J78" i="5"/>
  <c r="J41" i="5"/>
  <c r="J42" i="4"/>
  <c r="I41" i="5"/>
  <c r="J132" i="4"/>
  <c r="G50" i="5"/>
  <c r="I50" i="4" s="1"/>
  <c r="G94" i="5"/>
  <c r="I94" i="4" s="1"/>
  <c r="J98" i="4"/>
  <c r="I55" i="5" l="1"/>
  <c r="J55" i="5"/>
  <c r="G49" i="5"/>
  <c r="I49" i="4" s="1"/>
  <c r="J49" i="4" s="1"/>
  <c r="G88" i="5"/>
  <c r="I88" i="4" s="1"/>
  <c r="J88" i="4" s="1"/>
  <c r="G129" i="5"/>
  <c r="I129" i="4" s="1"/>
  <c r="H31" i="1" s="1"/>
  <c r="J31" i="1" s="1"/>
  <c r="K31" i="1" s="1"/>
  <c r="H29" i="1"/>
  <c r="J29" i="1" s="1"/>
  <c r="K29" i="1" s="1"/>
  <c r="G78" i="5"/>
  <c r="I78" i="4" s="1"/>
  <c r="J130" i="4"/>
  <c r="J50" i="4"/>
  <c r="J97" i="4"/>
  <c r="I161" i="4"/>
  <c r="G3" i="10"/>
  <c r="H25" i="1"/>
  <c r="H40" i="5"/>
  <c r="G41" i="5"/>
  <c r="I41" i="4" s="1"/>
  <c r="J94" i="4"/>
  <c r="J25" i="1" l="1"/>
  <c r="K25" i="1" s="1"/>
  <c r="C3" i="10"/>
  <c r="I3" i="10" s="1"/>
  <c r="H22" i="1"/>
  <c r="J22" i="1" s="1"/>
  <c r="K22" i="1" s="1"/>
  <c r="J40" i="5"/>
  <c r="J129" i="4"/>
  <c r="I29" i="1"/>
  <c r="L29" i="1"/>
  <c r="M29" i="1"/>
  <c r="I102" i="5"/>
  <c r="H64" i="1"/>
  <c r="I64" i="1" s="1"/>
  <c r="I25" i="1"/>
  <c r="G55" i="5"/>
  <c r="I55" i="4" s="1"/>
  <c r="J102" i="5"/>
  <c r="J78" i="4"/>
  <c r="J41" i="4"/>
  <c r="I164" i="4"/>
  <c r="J164" i="4" s="1"/>
  <c r="J161" i="4"/>
  <c r="I31" i="1"/>
  <c r="I40" i="5"/>
  <c r="I22" i="1" l="1"/>
  <c r="L22" i="1"/>
  <c r="M22" i="1"/>
  <c r="H102" i="5"/>
  <c r="L25" i="1"/>
  <c r="J64" i="1"/>
  <c r="L64" i="1" s="1"/>
  <c r="I101" i="5"/>
  <c r="L31" i="1"/>
  <c r="M31" i="1"/>
  <c r="J101" i="5"/>
  <c r="J55" i="4"/>
  <c r="G40" i="5"/>
  <c r="I40" i="4" s="1"/>
  <c r="I96" i="5" l="1"/>
  <c r="J96" i="5"/>
  <c r="K64" i="1"/>
  <c r="M64" i="1" s="1"/>
  <c r="M25" i="1"/>
  <c r="J40" i="4"/>
  <c r="H21" i="1"/>
  <c r="J21" i="1" s="1"/>
  <c r="K21" i="1" s="1"/>
  <c r="G102" i="5"/>
  <c r="I102" i="4" s="1"/>
  <c r="H101" i="5"/>
  <c r="H96" i="5" l="1"/>
  <c r="G101" i="5"/>
  <c r="I101" i="4" s="1"/>
  <c r="J102" i="4"/>
  <c r="I21" i="1"/>
  <c r="G96" i="5" l="1"/>
  <c r="M21" i="1"/>
  <c r="L21" i="1"/>
  <c r="G4" i="10"/>
  <c r="H26" i="1"/>
  <c r="J101" i="4"/>
  <c r="I96" i="4"/>
  <c r="J26" i="1" l="1"/>
  <c r="K26" i="1" s="1"/>
  <c r="C4" i="10"/>
  <c r="I4" i="10" s="1"/>
  <c r="I160" i="4"/>
  <c r="J96" i="4"/>
  <c r="I26" i="1"/>
  <c r="H24" i="1"/>
  <c r="J24" i="1" s="1"/>
  <c r="K24" i="1" s="1"/>
  <c r="L26" i="1" l="1"/>
  <c r="M26" i="1"/>
  <c r="I24" i="1"/>
  <c r="H63" i="1"/>
  <c r="I63" i="1" s="1"/>
  <c r="I165" i="4"/>
  <c r="J165" i="4" s="1"/>
  <c r="J160" i="4"/>
  <c r="L24" i="1" l="1"/>
  <c r="J63" i="1"/>
  <c r="L63" i="1" s="1"/>
  <c r="K63" i="1" l="1"/>
  <c r="M63" i="1" s="1"/>
  <c r="M24" i="1"/>
  <c r="F23" i="2"/>
  <c r="B25" i="10" s="1"/>
  <c r="H23" i="2"/>
  <c r="J23" i="2"/>
  <c r="H126" i="5" l="1"/>
  <c r="J126" i="5"/>
  <c r="I126" i="5"/>
  <c r="G126" i="5"/>
  <c r="I126" i="4" s="1"/>
  <c r="I160" i="26" l="1"/>
  <c r="I161" i="26"/>
  <c r="I158" i="26"/>
  <c r="I159" i="26"/>
  <c r="I131" i="26" l="1"/>
  <c r="I42" i="26" s="1"/>
  <c r="I41" i="26" s="1"/>
  <c r="I191" i="26" l="1"/>
  <c r="J161" i="23" l="1"/>
  <c r="L159" i="23"/>
  <c r="I161" i="23"/>
  <c r="J158" i="23"/>
  <c r="I160" i="23"/>
  <c r="K159" i="23"/>
  <c r="K160" i="23"/>
  <c r="J160" i="23"/>
  <c r="J159" i="23"/>
  <c r="I159" i="23"/>
  <c r="I158" i="23"/>
  <c r="K158" i="23"/>
  <c r="M131" i="25"/>
  <c r="K161" i="23"/>
  <c r="H158" i="23"/>
  <c r="L158" i="23"/>
  <c r="H160" i="23"/>
  <c r="H159" i="23"/>
  <c r="J131" i="25"/>
  <c r="I131" i="23" s="1"/>
  <c r="L131" i="25"/>
  <c r="K131" i="23" s="1"/>
  <c r="K131" i="25"/>
  <c r="L160" i="23"/>
  <c r="J95" i="13" l="1"/>
  <c r="J95" i="31"/>
  <c r="K122" i="13"/>
  <c r="K122" i="31"/>
  <c r="J122" i="13"/>
  <c r="J122" i="31"/>
  <c r="I124" i="13"/>
  <c r="I124" i="31"/>
  <c r="I122" i="13"/>
  <c r="I122" i="31"/>
  <c r="H95" i="13"/>
  <c r="H95" i="31"/>
  <c r="G122" i="13"/>
  <c r="G122" i="31"/>
  <c r="O122" i="31" s="1"/>
  <c r="Q158" i="23"/>
  <c r="H122" i="13"/>
  <c r="H122" i="31"/>
  <c r="J124" i="13"/>
  <c r="J124" i="31"/>
  <c r="H125" i="13"/>
  <c r="H125" i="31"/>
  <c r="G123" i="13"/>
  <c r="G123" i="31"/>
  <c r="O123" i="31" s="1"/>
  <c r="Q159" i="23"/>
  <c r="J125" i="13"/>
  <c r="J125" i="31"/>
  <c r="H123" i="13"/>
  <c r="H123" i="31"/>
  <c r="J123" i="13"/>
  <c r="J123" i="31"/>
  <c r="K123" i="13"/>
  <c r="K123" i="31"/>
  <c r="K124" i="13"/>
  <c r="K124" i="31"/>
  <c r="G124" i="13"/>
  <c r="G124" i="31"/>
  <c r="O124" i="31" s="1"/>
  <c r="Q160" i="23"/>
  <c r="I123" i="13"/>
  <c r="I123" i="31"/>
  <c r="H124" i="13"/>
  <c r="H124" i="31"/>
  <c r="I125" i="13"/>
  <c r="I125" i="31"/>
  <c r="J42" i="25"/>
  <c r="I42" i="23" s="1"/>
  <c r="L42" i="25"/>
  <c r="K42" i="23" s="1"/>
  <c r="L41" i="25"/>
  <c r="H161" i="23"/>
  <c r="L161" i="23"/>
  <c r="M42" i="25"/>
  <c r="L131" i="23"/>
  <c r="K42" i="25"/>
  <c r="J131" i="23"/>
  <c r="I131" i="25"/>
  <c r="K95" i="13" l="1"/>
  <c r="K95" i="31"/>
  <c r="H39" i="13"/>
  <c r="H39" i="31"/>
  <c r="H124" i="5"/>
  <c r="H124" i="33"/>
  <c r="H125" i="5"/>
  <c r="H125" i="33"/>
  <c r="H122" i="5"/>
  <c r="H122" i="33"/>
  <c r="G124" i="5"/>
  <c r="I124" i="4" s="1"/>
  <c r="J124" i="4" s="1"/>
  <c r="G124" i="33"/>
  <c r="O124" i="13"/>
  <c r="K123" i="5"/>
  <c r="K123" i="33"/>
  <c r="H123" i="5"/>
  <c r="H123" i="33"/>
  <c r="H95" i="5"/>
  <c r="H95" i="33"/>
  <c r="I124" i="5"/>
  <c r="I124" i="33"/>
  <c r="K122" i="5"/>
  <c r="K122" i="33"/>
  <c r="I95" i="13"/>
  <c r="I95" i="31"/>
  <c r="K125" i="13"/>
  <c r="K125" i="31"/>
  <c r="I125" i="5"/>
  <c r="I125" i="33"/>
  <c r="I123" i="5"/>
  <c r="I123" i="33"/>
  <c r="G123" i="5"/>
  <c r="I123" i="4" s="1"/>
  <c r="J123" i="4" s="1"/>
  <c r="G123" i="33"/>
  <c r="O123" i="13"/>
  <c r="J124" i="5"/>
  <c r="J124" i="33"/>
  <c r="G125" i="13"/>
  <c r="G125" i="31"/>
  <c r="O125" i="31" s="1"/>
  <c r="Q161" i="23"/>
  <c r="K124" i="5"/>
  <c r="K124" i="33"/>
  <c r="J123" i="5"/>
  <c r="J123" i="33"/>
  <c r="J125" i="5"/>
  <c r="J125" i="33"/>
  <c r="G122" i="5"/>
  <c r="I122" i="4" s="1"/>
  <c r="G122" i="33"/>
  <c r="O122" i="13"/>
  <c r="I122" i="5"/>
  <c r="I122" i="33"/>
  <c r="J122" i="5"/>
  <c r="J122" i="33"/>
  <c r="J95" i="5"/>
  <c r="J95" i="33"/>
  <c r="J39" i="13"/>
  <c r="J39" i="31"/>
  <c r="J41" i="25"/>
  <c r="I41" i="23" s="1"/>
  <c r="J42" i="23"/>
  <c r="K41" i="25"/>
  <c r="K41" i="23"/>
  <c r="L191" i="25"/>
  <c r="H131" i="23"/>
  <c r="I42" i="25"/>
  <c r="M41" i="25"/>
  <c r="L42" i="23"/>
  <c r="O122" i="33" l="1"/>
  <c r="O122" i="5"/>
  <c r="I95" i="5"/>
  <c r="I95" i="33"/>
  <c r="H39" i="5"/>
  <c r="H39" i="33"/>
  <c r="G95" i="13"/>
  <c r="G95" i="31"/>
  <c r="O95" i="31" s="1"/>
  <c r="Q131" i="23"/>
  <c r="I39" i="13"/>
  <c r="I39" i="31"/>
  <c r="H30" i="1"/>
  <c r="J122" i="4"/>
  <c r="O123" i="33"/>
  <c r="O123" i="5"/>
  <c r="K125" i="5"/>
  <c r="K125" i="33"/>
  <c r="H38" i="13"/>
  <c r="H38" i="31"/>
  <c r="G125" i="5"/>
  <c r="I125" i="4" s="1"/>
  <c r="J125" i="4" s="1"/>
  <c r="G125" i="33"/>
  <c r="O125" i="13"/>
  <c r="O124" i="33"/>
  <c r="O124" i="5"/>
  <c r="K95" i="5"/>
  <c r="K95" i="33"/>
  <c r="K39" i="13"/>
  <c r="K39" i="31"/>
  <c r="J38" i="13"/>
  <c r="J38" i="31"/>
  <c r="J39" i="5"/>
  <c r="J39" i="33"/>
  <c r="J191" i="25"/>
  <c r="I191" i="23" s="1"/>
  <c r="K191" i="23"/>
  <c r="L194" i="25"/>
  <c r="J194" i="25"/>
  <c r="I41" i="25"/>
  <c r="H42" i="23"/>
  <c r="K191" i="25"/>
  <c r="J41" i="23"/>
  <c r="L41" i="23"/>
  <c r="M191" i="25"/>
  <c r="I38" i="13" l="1"/>
  <c r="I38" i="31"/>
  <c r="J30" i="1"/>
  <c r="I30" i="1"/>
  <c r="G95" i="5"/>
  <c r="I95" i="4" s="1"/>
  <c r="G95" i="33"/>
  <c r="O95" i="13"/>
  <c r="O125" i="33"/>
  <c r="O125" i="5"/>
  <c r="H38" i="5"/>
  <c r="H38" i="33"/>
  <c r="I39" i="5"/>
  <c r="I39" i="33"/>
  <c r="H155" i="13"/>
  <c r="H155" i="33" s="1"/>
  <c r="H155" i="31"/>
  <c r="H158" i="31" s="1"/>
  <c r="K38" i="13"/>
  <c r="K38" i="31"/>
  <c r="K39" i="5"/>
  <c r="K39" i="33"/>
  <c r="G39" i="13"/>
  <c r="G39" i="31"/>
  <c r="O39" i="31" s="1"/>
  <c r="Q42" i="23"/>
  <c r="J155" i="13"/>
  <c r="J155" i="33" s="1"/>
  <c r="J155" i="31"/>
  <c r="J158" i="31" s="1"/>
  <c r="J38" i="5"/>
  <c r="J38" i="33"/>
  <c r="J155" i="5"/>
  <c r="H155" i="5"/>
  <c r="H158" i="13"/>
  <c r="L191" i="23"/>
  <c r="M194" i="25"/>
  <c r="J191" i="23"/>
  <c r="K194" i="25"/>
  <c r="I194" i="25" s="1"/>
  <c r="H41" i="23"/>
  <c r="I191" i="25"/>
  <c r="H191" i="23" s="1"/>
  <c r="J158" i="13" l="1"/>
  <c r="O95" i="33"/>
  <c r="O95" i="5"/>
  <c r="L30" i="1"/>
  <c r="K30" i="1"/>
  <c r="M30" i="1" s="1"/>
  <c r="H158" i="5"/>
  <c r="H158" i="33"/>
  <c r="I155" i="13"/>
  <c r="I155" i="33" s="1"/>
  <c r="I155" i="31"/>
  <c r="I158" i="31" s="1"/>
  <c r="G158" i="31" s="1"/>
  <c r="O158" i="31" s="1"/>
  <c r="J95" i="4"/>
  <c r="H23" i="1"/>
  <c r="I38" i="5"/>
  <c r="I38" i="33"/>
  <c r="K155" i="13"/>
  <c r="K155" i="33" s="1"/>
  <c r="K155" i="31"/>
  <c r="K158" i="31" s="1"/>
  <c r="K38" i="5"/>
  <c r="K38" i="33"/>
  <c r="G155" i="13"/>
  <c r="G155" i="31"/>
  <c r="O155" i="31" s="1"/>
  <c r="Q191" i="23"/>
  <c r="G38" i="13"/>
  <c r="G38" i="31"/>
  <c r="O38" i="31" s="1"/>
  <c r="Q41" i="23"/>
  <c r="J158" i="5"/>
  <c r="J158" i="33"/>
  <c r="G39" i="5"/>
  <c r="I39" i="4" s="1"/>
  <c r="J39" i="4" s="1"/>
  <c r="G39" i="33"/>
  <c r="O39" i="13"/>
  <c r="K155" i="5"/>
  <c r="K158" i="13"/>
  <c r="I155" i="5"/>
  <c r="I158" i="13"/>
  <c r="I158" i="33" s="1"/>
  <c r="G38" i="5"/>
  <c r="J23" i="1" l="1"/>
  <c r="I23" i="1"/>
  <c r="H20" i="1"/>
  <c r="I20" i="1" s="1"/>
  <c r="K158" i="5"/>
  <c r="K158" i="33"/>
  <c r="G38" i="33"/>
  <c r="O38" i="13"/>
  <c r="O39" i="33"/>
  <c r="O39" i="5"/>
  <c r="G155" i="5"/>
  <c r="I155" i="4" s="1"/>
  <c r="J155" i="4" s="1"/>
  <c r="G155" i="33"/>
  <c r="O155" i="13"/>
  <c r="G158" i="13"/>
  <c r="I158" i="5"/>
  <c r="J20" i="1"/>
  <c r="H19" i="1"/>
  <c r="I38" i="4"/>
  <c r="J38" i="4" s="1"/>
  <c r="L23" i="1" l="1"/>
  <c r="K23" i="1"/>
  <c r="M23" i="1" s="1"/>
  <c r="O155" i="33"/>
  <c r="O155" i="5"/>
  <c r="G158" i="5"/>
  <c r="I158" i="4" s="1"/>
  <c r="G158" i="33"/>
  <c r="O158" i="13"/>
  <c r="O38" i="33"/>
  <c r="O38" i="5"/>
  <c r="H67" i="1"/>
  <c r="I67" i="1" s="1"/>
  <c r="I19" i="1"/>
  <c r="H34" i="1"/>
  <c r="J19" i="1"/>
  <c r="L20" i="1"/>
  <c r="K20" i="1"/>
  <c r="M20" i="1" s="1"/>
  <c r="J158" i="4" l="1"/>
  <c r="H35" i="1"/>
  <c r="O158" i="33"/>
  <c r="O158" i="5"/>
  <c r="I34" i="1"/>
  <c r="F23" i="10"/>
  <c r="H23" i="10" s="1"/>
  <c r="F25" i="10"/>
  <c r="H25" i="10" s="1"/>
  <c r="H36" i="1"/>
  <c r="H37" i="1" s="1"/>
  <c r="I37" i="1" s="1"/>
  <c r="K19" i="1"/>
  <c r="J67" i="1"/>
  <c r="L67" i="1" s="1"/>
  <c r="L19" i="1"/>
  <c r="J34" i="1"/>
  <c r="J35" i="1" l="1"/>
  <c r="J36" i="1" s="1"/>
  <c r="I35" i="1"/>
  <c r="L34" i="1"/>
  <c r="I36" i="1"/>
  <c r="H48" i="1"/>
  <c r="I48" i="1" s="1"/>
  <c r="H40" i="1"/>
  <c r="I40" i="1" s="1"/>
  <c r="K67" i="1"/>
  <c r="M67" i="1" s="1"/>
  <c r="K34" i="1"/>
  <c r="M19" i="1"/>
  <c r="K35" i="1" l="1"/>
  <c r="M35" i="1" s="1"/>
  <c r="L35" i="1"/>
  <c r="H42" i="1"/>
  <c r="L36" i="1"/>
  <c r="J48" i="1"/>
  <c r="L48" i="1" s="1"/>
  <c r="J37" i="1"/>
  <c r="L37" i="1" s="1"/>
  <c r="K36" i="1"/>
  <c r="M34" i="1"/>
  <c r="M36" i="1" l="1"/>
  <c r="K37" i="1"/>
  <c r="M37" i="1" s="1"/>
  <c r="K48" i="1"/>
  <c r="M48" i="1" s="1"/>
  <c r="J40" i="1"/>
  <c r="L40" i="1" s="1"/>
  <c r="J42" i="1" l="1"/>
  <c r="K40" i="1"/>
  <c r="M40" i="1" s="1"/>
  <c r="K42" i="1" l="1"/>
  <c r="J176" i="4"/>
  <c r="J174" i="4"/>
</calcChain>
</file>

<file path=xl/sharedStrings.xml><?xml version="1.0" encoding="utf-8"?>
<sst xmlns="http://schemas.openxmlformats.org/spreadsheetml/2006/main" count="5035" uniqueCount="700">
  <si>
    <t xml:space="preserve"> AQUATIM SA</t>
  </si>
  <si>
    <t>Timisoara, str. Gheorghe Lazar nr. 11A</t>
  </si>
  <si>
    <t>CUI 3041480</t>
  </si>
  <si>
    <t xml:space="preserve">BUGETUL DE VENITURI SI CHELTUIELI </t>
  </si>
  <si>
    <t>1</t>
  </si>
  <si>
    <t>7</t>
  </si>
  <si>
    <r>
      <rPr>
        <b/>
        <sz val="10"/>
        <rFont val="Arial"/>
        <family val="2"/>
      </rPr>
      <t>INDICATORI</t>
    </r>
  </si>
  <si>
    <r>
      <rPr>
        <b/>
        <sz val="10"/>
        <rFont val="Arial"/>
        <family val="2"/>
      </rPr>
      <t>Nr.</t>
    </r>
  </si>
  <si>
    <r>
      <rPr>
        <b/>
        <sz val="10"/>
        <rFont val="Arial"/>
        <family val="2"/>
      </rPr>
      <t>rd.</t>
    </r>
  </si>
  <si>
    <r>
      <rPr>
        <b/>
        <sz val="10"/>
        <rFont val="Arial"/>
        <family val="2"/>
      </rPr>
      <t>1</t>
    </r>
  </si>
  <si>
    <t>ANEXA Nr.1</t>
  </si>
  <si>
    <t>ANEXA Nr.4</t>
  </si>
  <si>
    <r>
      <rPr>
        <i/>
        <sz val="10"/>
        <rFont val="Arial"/>
        <family val="2"/>
      </rPr>
      <t>-interna</t>
    </r>
  </si>
  <si>
    <r>
      <rPr>
        <i/>
        <sz val="10"/>
        <rFont val="Arial"/>
        <family val="2"/>
      </rPr>
      <t>-externa</t>
    </r>
  </si>
  <si>
    <r>
      <rPr>
        <i/>
        <sz val="10"/>
        <rFont val="Arial"/>
        <family val="2"/>
      </rPr>
      <t>-aferente bunurilor de natura domeniului public</t>
    </r>
  </si>
  <si>
    <t>INDICATORI</t>
  </si>
  <si>
    <t>Aprobat</t>
  </si>
  <si>
    <t>3</t>
  </si>
  <si>
    <t>4</t>
  </si>
  <si>
    <t>6</t>
  </si>
  <si>
    <t>8</t>
  </si>
  <si>
    <t>2</t>
  </si>
  <si>
    <t>-</t>
  </si>
  <si>
    <t>II</t>
  </si>
  <si>
    <t>5</t>
  </si>
  <si>
    <t>cheltuieli cu plaţi compensatorii aferente disponibilizărilor de personal</t>
  </si>
  <si>
    <t>9</t>
  </si>
  <si>
    <t>a)</t>
  </si>
  <si>
    <t>e)</t>
  </si>
  <si>
    <r>
      <rPr>
        <b/>
        <sz val="10"/>
        <rFont val="Arial"/>
        <family val="2"/>
      </rPr>
      <t>mii lei</t>
    </r>
  </si>
  <si>
    <t>0</t>
  </si>
  <si>
    <t>10</t>
  </si>
  <si>
    <t>transferuri, cf. prevederilor legale în vigoare</t>
  </si>
  <si>
    <t>11</t>
  </si>
  <si>
    <t>f)</t>
  </si>
  <si>
    <t>g)</t>
  </si>
  <si>
    <t>j)</t>
  </si>
  <si>
    <t>ch. ou taxa pt.activitatea de exploatare a resurselor minerale</t>
  </si>
  <si>
    <t>b)</t>
  </si>
  <si>
    <t>ch. cu redevenţa pentru concesionarea bunurilor publice şi resursele minerale</t>
  </si>
  <si>
    <t>c)</t>
  </si>
  <si>
    <t>ch. cu taxa de licenţă</t>
  </si>
  <si>
    <t>d)</t>
  </si>
  <si>
    <t>ch. cu taxa de autorizare</t>
  </si>
  <si>
    <t>ch. cu taxa de mediu</t>
  </si>
  <si>
    <t>cheltuieli cu alte taxe şi impozite</t>
  </si>
  <si>
    <t>C1</t>
  </si>
  <si>
    <t>Situatia datoriilor rezultate din imprumuturile contractate</t>
  </si>
  <si>
    <t>6 = 5/4</t>
  </si>
  <si>
    <t>9=7/5</t>
  </si>
  <si>
    <t>10=8/7</t>
  </si>
  <si>
    <t>f1)</t>
  </si>
  <si>
    <t>f2)</t>
  </si>
  <si>
    <t>f3)</t>
  </si>
  <si>
    <t>f4)</t>
  </si>
  <si>
    <t>f5)</t>
  </si>
  <si>
    <t>i1)</t>
  </si>
  <si>
    <t>i2)</t>
  </si>
  <si>
    <t>i3)</t>
  </si>
  <si>
    <t>i4)</t>
  </si>
  <si>
    <t>i5)</t>
  </si>
  <si>
    <t>i6)</t>
  </si>
  <si>
    <t>i7)</t>
  </si>
  <si>
    <t>C4</t>
  </si>
  <si>
    <t>Bonusuri (Rd.93+Rd.96+Rd.97+Rd.98+ Rd.99), din care;</t>
  </si>
  <si>
    <t>f2.1)</t>
  </si>
  <si>
    <t>a2)</t>
  </si>
  <si>
    <t>C2</t>
  </si>
  <si>
    <t>C5</t>
  </si>
  <si>
    <t>cheltuieli cu asigurările si protectla socială, fondurile speciale şi alte obligaţii legale</t>
  </si>
  <si>
    <t>PROFITUL CONTABIL RAMAS DUPA DEDUCEREA IMPOZITULUI PE PROFIT, din care:</t>
  </si>
  <si>
    <t>4=5+6+7</t>
  </si>
  <si>
    <t>Sold final an curent (N)</t>
  </si>
  <si>
    <t>bonusuri</t>
  </si>
  <si>
    <t>b) tichete de masă;</t>
  </si>
  <si>
    <t>Cheltuieli aferente contractului de mandat si a altor organe de conducere si control, comisii si comitete   (Rd.105+rd.106+Rd.107+Rd.108)</t>
  </si>
  <si>
    <t>b1)</t>
  </si>
  <si>
    <t>=</t>
  </si>
  <si>
    <t>rd.88 col.5 si 6 anexa 2</t>
  </si>
  <si>
    <t>diferenta</t>
  </si>
  <si>
    <t>rd.92 col.5si6 anexa2</t>
  </si>
  <si>
    <t>rd.2 col 6 si 7 anexa 3</t>
  </si>
  <si>
    <t>rd 3 col. 4 si 5 anexa 2</t>
  </si>
  <si>
    <t>rd. 3 col.6 si 7 anexa3</t>
  </si>
  <si>
    <t>rd.8 col. 4 si 5 anexa 2</t>
  </si>
  <si>
    <t>rd. 4 col.6 si 7 anexa3</t>
  </si>
  <si>
    <t>rd. 5 col.6 si 7 anexa3</t>
  </si>
  <si>
    <t>rd.13 col. 4 si 5 anexa 2</t>
  </si>
  <si>
    <t>rd.15 col. 4 si 5 anexa 2</t>
  </si>
  <si>
    <t>corelatii anexa 1</t>
  </si>
  <si>
    <t>corelatii anexa 3</t>
  </si>
  <si>
    <t>COL. 3 ANEXA 7</t>
  </si>
  <si>
    <t>RD.54 COL.4 ANEXA1</t>
  </si>
  <si>
    <t>RD.54 COL.5 ANEXA1</t>
  </si>
  <si>
    <t>COL. 8 ANEXA7</t>
  </si>
  <si>
    <t>COL. 10 ANEXA7</t>
  </si>
  <si>
    <t>RD.54 COL.7 ANEXA1</t>
  </si>
  <si>
    <t>RD.54 COL.8 ANEXA1</t>
  </si>
  <si>
    <t>CORELATII ANEXA 7</t>
  </si>
  <si>
    <t>b2)</t>
  </si>
  <si>
    <t>a1) LEI</t>
  </si>
  <si>
    <t>a2) EURO</t>
  </si>
  <si>
    <t>Total B  LEI</t>
  </si>
  <si>
    <t>Total B VALUTA</t>
  </si>
  <si>
    <t>Total A LEI</t>
  </si>
  <si>
    <t>Total A VALUTA</t>
  </si>
  <si>
    <t>Total General A+B LEI</t>
  </si>
  <si>
    <t>Total General A+B   VALUTA</t>
  </si>
  <si>
    <t>b1) LEI</t>
  </si>
  <si>
    <t>b2) EURO</t>
  </si>
  <si>
    <t>Nr. rd.</t>
  </si>
  <si>
    <t>%</t>
  </si>
  <si>
    <t>1.</t>
  </si>
  <si>
    <t>Venituri din exploatare</t>
  </si>
  <si>
    <t>Venituri financiare</t>
  </si>
  <si>
    <t>Venituri extraordinare</t>
  </si>
  <si>
    <t>Cheltuieli de exploatare, din care:</t>
  </si>
  <si>
    <t>A.</t>
  </si>
  <si>
    <t>cheltuieli cu bunuri si servicii</t>
  </si>
  <si>
    <t>B.</t>
  </si>
  <si>
    <t>cheltuieli cu impozite, taxe si varsaminte asimilate</t>
  </si>
  <si>
    <t>C.</t>
  </si>
  <si>
    <t>cheltuieli cu personalul, din care:</t>
  </si>
  <si>
    <t>ch. cu salariile</t>
  </si>
  <si>
    <t>C3</t>
  </si>
  <si>
    <t>alte cheltuieli cu personalul, din care:</t>
  </si>
  <si>
    <t>D.</t>
  </si>
  <si>
    <t>alte cheltuieli de exploatare</t>
  </si>
  <si>
    <t>Cheltuieli financiare</t>
  </si>
  <si>
    <t>Cheltuieli extraordinare</t>
  </si>
  <si>
    <t>III</t>
  </si>
  <si>
    <t>REZULTATUL BRUT (profit/pierdere)</t>
  </si>
  <si>
    <t>IV</t>
  </si>
  <si>
    <t>IMPOZIT PE PROFIT</t>
  </si>
  <si>
    <t>V</t>
  </si>
  <si>
    <t>Rezerve legale</t>
  </si>
  <si>
    <t>Alte rezerve reprezentând facilitaţi fiscale prevăzute de lege</t>
  </si>
  <si>
    <t>Acoperirea pierderilor contabile din anii precedenţi</t>
  </si>
  <si>
    <t>Alte repartizări prevăzute de lege</t>
  </si>
  <si>
    <t>Participarea salariaţilor la profit in limita a 10% din profitul net, dar nu mal mult de nivelul unul salariu de bază mediu lunar realizat la nivelul operatorului economic în exerciţiul financiar de referinţă</t>
  </si>
  <si>
    <t>Minimum 50% vârsăminte la bugetul de stat sau local in cazul regiilor autonome, ori dividende cuvenite acţionarilor, în cazul societăţilor/ companiilor naflonale şi societăţilor cu capital integral sau majoritar de stat, din care:</t>
  </si>
  <si>
    <t>VI</t>
  </si>
  <si>
    <t>VENITURI DIN FONDURI EUROPENE</t>
  </si>
  <si>
    <t>VII</t>
  </si>
  <si>
    <t>CHELTUIELI ELIGIBILE DIN FONDURI EUROPENE, din care</t>
  </si>
  <si>
    <t>cheltuieli materiale</t>
  </si>
  <si>
    <t>cheltuieli cu salariile</t>
  </si>
  <si>
    <t>cheltuieli privind prestările de servicii</t>
  </si>
  <si>
    <t>cheltuieli cu reclama si publicitate</t>
  </si>
  <si>
    <t>alte cheltuieli</t>
  </si>
  <si>
    <t>VIII</t>
  </si>
  <si>
    <t>SURSE DE FINANŢARE A INVESTIŢIILOR, din care:</t>
  </si>
  <si>
    <t>IX</t>
  </si>
  <si>
    <t>CHELTUIELI PENTRU INVESTIŢII</t>
  </si>
  <si>
    <t>X</t>
  </si>
  <si>
    <t>DATE DE FUNDAMENTARE</t>
  </si>
  <si>
    <t>Nr.mediu de salariaţi total</t>
  </si>
  <si>
    <t>- către operatori cu capital integral/majoritar de stat</t>
  </si>
  <si>
    <t>- către operatori cu capital privat</t>
  </si>
  <si>
    <t>prime de asigurare</t>
  </si>
  <si>
    <t>A3</t>
  </si>
  <si>
    <t>cheltuieli cu colaboratorii</t>
  </si>
  <si>
    <t>cheltuieli privind comisioanele şi onorariul, din care:</t>
  </si>
  <si>
    <t>cheltuieli de protocol, din care:</t>
  </si>
  <si>
    <t>- tichete cadou potrivit Legii nr. 193/2006, cu modificările ulterioare</t>
  </si>
  <si>
    <t>c2)</t>
  </si>
  <si>
    <t>cheltuieli de reclamă şi publicitate, din care:</t>
  </si>
  <si>
    <t>- tichete cadou ptr. cheltuieli de reclamă şi publicitate, potrivit Legii nr.193/2006, cu modificările ulterioare</t>
  </si>
  <si>
    <t>- tichete cadou ptr. campanii de marketing, studiul pieţei, promovarea pe pieţe existente sau noi, potrivit Legii nr. 193/2006, cu modificările ulterioare</t>
  </si>
  <si>
    <t>- ch.de promovare a produselor</t>
  </si>
  <si>
    <t>d1)</t>
  </si>
  <si>
    <t>d2)</t>
  </si>
  <si>
    <t>d3)</t>
  </si>
  <si>
    <t>d4)</t>
  </si>
  <si>
    <t>cheltuieli cu transportul de bunuri şi persoane</t>
  </si>
  <si>
    <t>cheltuieli de deplasare, detaşare, transfer, din care:</t>
  </si>
  <si>
    <t>- cheltuieli cu diurna (Rd.66+Rd.67), din care:</t>
  </si>
  <si>
    <t>cheltuieli poştale şi taxe de telecomunicaţii</t>
  </si>
  <si>
    <t>h)</t>
  </si>
  <si>
    <t>cheltuieli cu serviciile bancare şi asimilate</t>
  </si>
  <si>
    <t>i)</t>
  </si>
  <si>
    <t>alte cheltuieli cu serviciile executate de terţi, din care:</t>
  </si>
  <si>
    <t>cheltuieli de asigurare şi pază</t>
  </si>
  <si>
    <t>cheltuieli cu pregătirea profesională</t>
  </si>
  <si>
    <t>cheltuieli cu reevaluarea imobilizărilor corporale şi necorporale, din care:</t>
  </si>
  <si>
    <t>cheltuieli privind recrutarea şi plasarea personalului de conducere conform Ordonanţei de urgenţa a Guvernului nr. 109/2011</t>
  </si>
  <si>
    <t>cheltuieli cu anunţurile privind licitaţiile şi alte anunţuri</t>
  </si>
  <si>
    <t>a) cheltuieli sociale prevăzute la art. 21 din Legea nr. 571/2003 privind Codul fiscal, cu modificările şi completările ulterioare, din care:</t>
  </si>
  <si>
    <t>ch. cu taxa pt.activitatea de exploatare a resurselor minerale</t>
  </si>
  <si>
    <t>Cheltuieli cu salariile (Rd.89+Rd.90+Rd.91), din care:</t>
  </si>
  <si>
    <t>a) salarii de baza</t>
  </si>
  <si>
    <t>b) sporuri, prime şi alte bonificaţii aferente salariului de bază (conform CCM)</t>
  </si>
  <si>
    <t>c) alte bonificaţii (conform CCM)</t>
  </si>
  <si>
    <t>- tichete de creşă, cf. Legii nr. 193/2006, cu modificările ulterioare;</t>
  </si>
  <si>
    <t>- tichete cadou pentru cheltuieli sociale potrivit Legii nr. 193/2006, cu modificările ulterioare;</t>
  </si>
  <si>
    <t>c) tichete de vacanţa;</t>
  </si>
  <si>
    <t>e) alte cheltuieli conform CCM.</t>
  </si>
  <si>
    <t>Alte cheltuieli cu personalul (Rd.101+Rd.102+Rd.103), din care:</t>
  </si>
  <si>
    <t>a) ch. cu plăţile compensatorii aferente disponibilizărilor de personal</t>
  </si>
  <si>
    <t>b) ch. cu drepturile salariale cuvenite în baza unor hotărâri judecătoreşti</t>
  </si>
  <si>
    <t>c) cheltuieli de natură salarială aferente restructurării, privatizării, administrator special, alte comisii si comitete</t>
  </si>
  <si>
    <t>b) pentru consiliul de administraţie/consiliul de supraveghere</t>
  </si>
  <si>
    <t>c) pentru AGA şi cenzori</t>
  </si>
  <si>
    <t>d) pentru alte comisii şi comitete constituite potrivit legii</t>
  </si>
  <si>
    <t>Cheltuieli cu asigurările şi protecţia socială, fondurile speciale şi alte obligaţii legale(Rd.110+Rd.111+Rd.112+Rd.113+ Rd.114+Rd.115), din care:</t>
  </si>
  <si>
    <t>a) ch. privind contribuţia la asigurări sociale</t>
  </si>
  <si>
    <t>b) ch. privind contribuţia la asigurări pt.somaj</t>
  </si>
  <si>
    <t>c) ch. privind contribuţia la asigurări sociale de sănătate</t>
  </si>
  <si>
    <t>d) ch. privind contribuţiile la fondurile speciale aferente fondului de salarii</t>
  </si>
  <si>
    <t>e) ch. privind contribuţiia unităţii la schemele de pensii</t>
  </si>
  <si>
    <t>1) cheltuieli privind alte contribuţii si fonduri speciale</t>
  </si>
  <si>
    <t>- către bugetul general consolidat</t>
  </si>
  <si>
    <t>-cătrealţi creditori</t>
  </si>
  <si>
    <t>cheltuieli privind activele imobilizate</t>
  </si>
  <si>
    <r>
      <rPr>
        <i/>
        <sz val="10"/>
        <rFont val="Arial"/>
        <family val="2"/>
      </rPr>
      <t>alte cheltuieli cu sponsorizarea</t>
    </r>
  </si>
  <si>
    <t>I</t>
  </si>
  <si>
    <t>COL. 12 ANEXA7</t>
  </si>
  <si>
    <t>TOT. GEN. COL.3+ TOT.PCT1 COL 5 ANEXA 9</t>
  </si>
  <si>
    <t>RD.19 COL.5 ANEXA 1</t>
  </si>
  <si>
    <t>TOT. GEN. COL.4+ TOT.PCT1 COL 6 ANEXA 9</t>
  </si>
  <si>
    <t>RD.54 COL.5 ANEXA 1</t>
  </si>
  <si>
    <t>TOT. GEN. COL.3+ TOT.GEN. COL 5 ANEXA 9</t>
  </si>
  <si>
    <t>CORELATII ANEXA 9</t>
  </si>
  <si>
    <t>TOT. GEN. COL.4+ TOT.GEN. COL 6 ANEXA 10</t>
  </si>
  <si>
    <t>ANEXA 5</t>
  </si>
  <si>
    <t>ANEXA 8</t>
  </si>
  <si>
    <t>CORELATII</t>
  </si>
  <si>
    <t>cheltuieli cu materiile prime (601)</t>
  </si>
  <si>
    <t>cheltuieli cu transportul de bunuri si persoane</t>
  </si>
  <si>
    <t>cheltuieli privind întreţinerea şi funcţionarea tehnicii de calcul</t>
  </si>
  <si>
    <t>cheltuieli privind recrutarea şl plasarea personalului de conducere cf. Ordonanţei de urgenţă a Guvernului nr. 109/2011</t>
  </si>
  <si>
    <r>
      <rPr>
        <i/>
        <sz val="10"/>
        <rFont val="Arial"/>
        <family val="2"/>
      </rPr>
      <t>ch, de sponsorizare a unităţilor de cult</t>
    </r>
  </si>
  <si>
    <r>
      <rPr>
        <i/>
        <sz val="10"/>
        <rFont val="Arial"/>
        <family val="2"/>
      </rPr>
      <t>ch. privind acordarea ajutoarelor umanitare si</t>
    </r>
    <r>
      <rPr>
        <sz val="10"/>
        <rFont val="Arial"/>
        <family val="2"/>
      </rPr>
      <t xml:space="preserve"> soc/a/e</t>
    </r>
  </si>
  <si>
    <t>VENITURI TOTALE (Rd.2+Rd.23+Rd.29)</t>
  </si>
  <si>
    <t>CREDIT 1 VALUTA (MELF)</t>
  </si>
  <si>
    <t>CREDIT 2  VALUTA   (POS)</t>
  </si>
  <si>
    <t>ch.de sponsorizare a cluburilor sportive</t>
  </si>
  <si>
    <t>a1)</t>
  </si>
  <si>
    <t>Nr. crt.</t>
  </si>
  <si>
    <t>Măsuri</t>
  </si>
  <si>
    <t>Termen de realizare</t>
  </si>
  <si>
    <t>Preliminat / Realizat</t>
  </si>
  <si>
    <t>Influenţe (+/-)</t>
  </si>
  <si>
    <t>Rezultat brut (+/-)</t>
  </si>
  <si>
    <t>Arierate</t>
  </si>
  <si>
    <t>Rezultat brut</t>
  </si>
  <si>
    <t>s</t>
  </si>
  <si>
    <t>Pct. i</t>
  </si>
  <si>
    <t>Măsuri de îmbunătăţire a rezultatului brut şi reducere a arieratelor</t>
  </si>
  <si>
    <t>Măsura 1.........................</t>
  </si>
  <si>
    <t>Măsura 2.........................</t>
  </si>
  <si>
    <t>Alte măsuri</t>
  </si>
  <si>
    <t>TOTAL Pct. I</t>
  </si>
  <si>
    <t>Pct. II</t>
  </si>
  <si>
    <t>Cauze care diminuează efectul măsurilor prevăzute la Pct. I</t>
  </si>
  <si>
    <t>Cauza 1.........................</t>
  </si>
  <si>
    <t>Cauza 2.........................</t>
  </si>
  <si>
    <t>Alte cauze</t>
  </si>
  <si>
    <t>TOTAL Pct. II</t>
  </si>
  <si>
    <t>Pct. II!</t>
  </si>
  <si>
    <t>TOTAL GENERAL Pct. I + Pct. II</t>
  </si>
  <si>
    <r>
      <rPr>
        <i/>
        <sz val="10"/>
        <rFont val="Arial"/>
        <family val="2"/>
      </rPr>
      <t>7</t>
    </r>
  </si>
  <si>
    <t xml:space="preserve">  Mentiune: AQUATIM SA nu este in situatia de a inregistra arierate</t>
  </si>
  <si>
    <t>Plăti restante, în preturi curente</t>
  </si>
  <si>
    <t>ci)</t>
  </si>
  <si>
    <t>A1</t>
  </si>
  <si>
    <t>cheltuieli cu materiile prime</t>
  </si>
  <si>
    <t>cheltuieli cu materialele consumabile, din care:</t>
  </si>
  <si>
    <t>cheltuieli cu piesele de schimb</t>
  </si>
  <si>
    <t>cheltuieli cu combustibilii</t>
  </si>
  <si>
    <t>cheltuieli privind materialele de natura obiectelor de Inventar</t>
  </si>
  <si>
    <t>cheltuieli privind energia şi apa</t>
  </si>
  <si>
    <t>cheltuieli privind mărfurile</t>
  </si>
  <si>
    <t>A2</t>
  </si>
  <si>
    <t>cheltuieli cu întreţinerea şi reparaţiile</t>
  </si>
  <si>
    <t>cheltuieli privind chiriile (Rd.44+Rd.45) din care:</t>
  </si>
  <si>
    <t>bl)</t>
  </si>
  <si>
    <t>cheltuieli privind consultanţa juridica</t>
  </si>
  <si>
    <t>c1)</t>
  </si>
  <si>
    <t>- tichete cadou ptr. cheltuieli de reclamă şi publicitate, potrivit Legii nr. 193/2006, cu modificările ulterioare</t>
  </si>
  <si>
    <t>-tichete cadou pentru cheltuieli sociale potrivit Legii nr. 193/2006, cu modificările ulterioare;</t>
  </si>
  <si>
    <t>c) tichete de vacanţă;</t>
  </si>
  <si>
    <t>a) pentru directori/directorat</t>
  </si>
  <si>
    <t>b) ch. privind contribuţia la asigurări pt. şomaj</t>
  </si>
  <si>
    <t>f) cheltuieli privind alte contribuţii si fonduri speciale</t>
  </si>
  <si>
    <t xml:space="preserve">      - către bugetul general consolidat</t>
  </si>
  <si>
    <t>- către alţi creditori</t>
  </si>
  <si>
    <t>cheltuieli aferente transferurilor pentru plata personalului</t>
  </si>
  <si>
    <t>ch. cu amortizarea imobilizărilor corporale şi necorporale</t>
  </si>
  <si>
    <t>cheltuieli privind ajustările şi provizioanele</t>
  </si>
  <si>
    <t>venituri din provizioane şi ajustări pentru depreciere sau pierderi de valoare, din care:</t>
  </si>
  <si>
    <t>-din participarea salariaţilor la profit</t>
  </si>
  <si>
    <t>-din deprecierea Imobilizărilor corporale şi a activelor circulante</t>
  </si>
  <si>
    <t>-venituri din alte provizioane</t>
  </si>
  <si>
    <t>aferente creditelor pentru investiţii</t>
  </si>
  <si>
    <t>aferente creditelor pentru activitatea curentă</t>
  </si>
  <si>
    <t>alte cheltuieli financiare</t>
  </si>
  <si>
    <t>cheltuieli nedeductibile fiscal</t>
  </si>
  <si>
    <t>Nr. de personal prognozat la finele anului</t>
  </si>
  <si>
    <t>Nr.</t>
  </si>
  <si>
    <t>crt.</t>
  </si>
  <si>
    <t>Realizat</t>
  </si>
  <si>
    <t>-din producţia vândută</t>
  </si>
  <si>
    <t>-din vânzarea mărfurilor</t>
  </si>
  <si>
    <t>- producţia de imobilizări</t>
  </si>
  <si>
    <t>- alte venituri din exploatare</t>
  </si>
  <si>
    <t>* Nu se vor lua în considerare veniturile din subvenţii sau transferuri, precum şi veniturile care nu se transformă în lichidităţi băneşti</t>
  </si>
  <si>
    <t>(nu influenţează fluxul de numerar).</t>
  </si>
  <si>
    <t>Nr. Crt</t>
  </si>
  <si>
    <t>Nr</t>
  </si>
  <si>
    <t>Trim I</t>
  </si>
  <si>
    <t>Trim II</t>
  </si>
  <si>
    <t>Trim III</t>
  </si>
  <si>
    <t>Trim IV</t>
  </si>
  <si>
    <t>Rd.</t>
  </si>
  <si>
    <t>din producţia vândută (Rd.4+Rd.5+Rd.6+Rd.7), din care:</t>
  </si>
  <si>
    <t>din vânzarea produselor</t>
  </si>
  <si>
    <t>din servicii prestate</t>
  </si>
  <si>
    <t>a3)</t>
  </si>
  <si>
    <t>din redevenţe şi chirii</t>
  </si>
  <si>
    <t>a4)</t>
  </si>
  <si>
    <t>alte venituri</t>
  </si>
  <si>
    <t>din vânzarea mărfurilor</t>
  </si>
  <si>
    <t>din subvenţii şi transferuri de exploatare aferente cifrei de afaceri nete (Rd.10+Rd.11+Rd.12), din care:</t>
  </si>
  <si>
    <t>c1</t>
  </si>
  <si>
    <t>subvenţii, cf. prevederilor legale în vigoare</t>
  </si>
  <si>
    <t>din producţia de imobilizări</t>
  </si>
  <si>
    <t>venituri aferente costului producţiei în curs de execuţie</t>
  </si>
  <si>
    <t>alte venituri din exploatare (Rd.16+Rd.17+Rd.20+Rd.21+Rd.22), din care:</t>
  </si>
  <si>
    <t>fi)</t>
  </si>
  <si>
    <t>din amenzi şi penalităţi</t>
  </si>
  <si>
    <t>din vânzarea activelor şi alte operaţii de capital (Rd.18+Rd.19), din care:</t>
  </si>
  <si>
    <t>-active corporale</t>
  </si>
  <si>
    <t>- active necorporale</t>
  </si>
  <si>
    <t>din subvenţii pentru investiţii</t>
  </si>
  <si>
    <t>din valorificarea certificatelor C02</t>
  </si>
  <si>
    <t>Venituri financiare (Rd.24+Rd.25+Rd.26+Rd.27+Rd.2B), din care:</t>
  </si>
  <si>
    <t>din imobilizări financiare</t>
  </si>
  <si>
    <t>din Investiţii financiare</t>
  </si>
  <si>
    <t>din diferenţe de curs</t>
  </si>
  <si>
    <t>din dobânzi</t>
  </si>
  <si>
    <t>alte venituri financiare</t>
  </si>
  <si>
    <t>Cheltuieli privind stocurile</t>
  </si>
  <si>
    <t>cheltuieli privind materialele de natura obiectelor de inventar</t>
  </si>
  <si>
    <t>J)</t>
  </si>
  <si>
    <t>ajustări şi deprecieri pentru pierdere de valoare şi provizioane (Rd.125+Rd.126), din care:</t>
  </si>
  <si>
    <t>venituri din provizioane şi ajustări pentru depreciere sau pierderi de valoare , din care:</t>
  </si>
  <si>
    <t>- din deprecierea imobilizărilor corporale şi a activelor circulante</t>
  </si>
  <si>
    <t>- venituri din alte provizioane</t>
  </si>
  <si>
    <t>aferente creditelor pentru activitatea curenta</t>
  </si>
  <si>
    <t>Nr. Crt.</t>
  </si>
  <si>
    <t>2.</t>
  </si>
  <si>
    <t>Sold iniţial an curent (N)</t>
  </si>
  <si>
    <t>Reduceri</t>
  </si>
  <si>
    <t>Reduceri Total an N+1</t>
  </si>
  <si>
    <t>Sold final an N+1</t>
  </si>
  <si>
    <t>Reduceri Total an N+2</t>
  </si>
  <si>
    <t>Sold final an N+2</t>
  </si>
  <si>
    <t>Total an curent (N)</t>
  </si>
  <si>
    <t>încasări creanţe</t>
  </si>
  <si>
    <t>credite</t>
  </si>
  <si>
    <t>alte surse</t>
  </si>
  <si>
    <t>8=3-4</t>
  </si>
  <si>
    <t>10=8-9</t>
  </si>
  <si>
    <t>12=10-11</t>
  </si>
  <si>
    <t>TOTAL (Rd.1a+Rd.1b), din care:</t>
  </si>
  <si>
    <t>1a.</t>
  </si>
  <si>
    <t>- buget general consolidat</t>
  </si>
  <si>
    <t>1b.</t>
  </si>
  <si>
    <t>-alţi creditori</t>
  </si>
  <si>
    <t>Total arierate înregistrate în anul precedent (N-1) (Rd.2a+Rd.2b), din care:</t>
  </si>
  <si>
    <t>2a.</t>
  </si>
  <si>
    <t>2b.</t>
  </si>
  <si>
    <t>Director General,</t>
  </si>
  <si>
    <t>Director economic,</t>
  </si>
  <si>
    <t>dr.ing. Ilie Vlaicu</t>
  </si>
  <si>
    <t>ec. Rozalia Giuchici</t>
  </si>
  <si>
    <t>Constituirea surselor proprii de finanţare pentru proiectele cofinanţate din împrumuturi externe, precum şi pentru constituirea surselor necesare rambursării ratelor de capital, plata dobânzilor, comisioanelor si altor costuri aferente acestor împrumuturi</t>
  </si>
  <si>
    <t>d) ch. privind participarea salariaţilor la profitul obtinut în anul precedent</t>
  </si>
  <si>
    <t>b) pentru consiliul de administraţle/consiliul de supraveghere</t>
  </si>
  <si>
    <t>e) ch. privind contribuţia unităţii la schemele de pensii</t>
  </si>
  <si>
    <t>b1) cheltuieli privind consultanţa juridică</t>
  </si>
  <si>
    <t>ch. de sponsorizare a unităţilor de cult</t>
  </si>
  <si>
    <t>ch. privind acordarea ajutoarelor umanitare si sociale</t>
  </si>
  <si>
    <t>alte cheltuieli cu sponsorizarea</t>
  </si>
  <si>
    <t>-interna</t>
  </si>
  <si>
    <t>-externa</t>
  </si>
  <si>
    <t>-aferente bunurilor de natura domeniului public</t>
  </si>
  <si>
    <t xml:space="preserve">ch. cu redevenţa pentru concesionarea bunurilor publice </t>
  </si>
  <si>
    <t>Bonusuri (Rd.93+Rd.96+Rd.97+Rd.98+ Rd.99), din care:</t>
  </si>
  <si>
    <t>d) ch. privind participarea salariaţilor la profitul obţinut în anul precedent</t>
  </si>
  <si>
    <t>mii lei</t>
  </si>
  <si>
    <t>subvenţii, cf. prevederilor  legale în vigoare</t>
  </si>
  <si>
    <t>transferuri, cf.  prevederilor    legale  în  vigoare</t>
  </si>
  <si>
    <t>VENITURI TOTALE (Rd.1=Rd.2+Rd.5+Rd.6)</t>
  </si>
  <si>
    <t>CHELTUIELI TOTALE  (Rd.7=Rd.8+Rd.20+Rd.21)</t>
  </si>
  <si>
    <t>C0</t>
  </si>
  <si>
    <t>Cheltuieli de natură salarială(Rd.13+Rd.14)</t>
  </si>
  <si>
    <t>Cheltuieli aferente contractului de mandat si a altor organe de conducere si control, comisii si comitete</t>
  </si>
  <si>
    <t>Profitul contabil rămas după deducerea sumelor de la Rd. 25, 26, 27, 28, 29</t>
  </si>
  <si>
    <t xml:space="preserve">   -  dividende cuvenite bugetului de stat </t>
  </si>
  <si>
    <t xml:space="preserve">   - dividende cuvenite bugetului local</t>
  </si>
  <si>
    <t>33a</t>
  </si>
  <si>
    <t xml:space="preserve">   -  dividende cuvenite altor acţionari</t>
  </si>
  <si>
    <t>Profitul nerepartizat pe destinaţiile prevăzute la Rd.31 - Rd.32 se repartizează la alte rezerve şi constituie sursă proprie de finanţare</t>
  </si>
  <si>
    <t>alocaţii bugetare aferente plăţii angajamentelor din anii anteriori</t>
  </si>
  <si>
    <t>Castigul mediu  lunar pe salariat (lei/persoană) determinat pe baza cheltuielilor de natură salarială  (Rd.12/Rd.49)/12*1000</t>
  </si>
  <si>
    <t>Castigul mediu lunar pe salariat deterninat pe baza cheltuielilor cu salariile (lei/persoană)  (Rd.13/Rd.49)/12*1000</t>
  </si>
  <si>
    <t>Productivitatea muncii în unităţi valorice pe total personal mediu (mii lei/persoană) (Rd.2/Rd.49)</t>
  </si>
  <si>
    <t>Productivitatea muncii în unităţi fizice pe total personal mediu (cantitate produse finite/ persoană)</t>
  </si>
  <si>
    <t>Cheltuieli totale la 1000 lei venituri totale (Rd7/Rd.1)x1000</t>
  </si>
  <si>
    <t>venituri</t>
  </si>
  <si>
    <t>provizioane</t>
  </si>
  <si>
    <t>Cheltuieli de natură salarială (Rd.88+ Rd.92)</t>
  </si>
  <si>
    <t>-componenta fixă</t>
  </si>
  <si>
    <t>-componenta variabilă</t>
  </si>
  <si>
    <t>f1.1)</t>
  </si>
  <si>
    <t xml:space="preserve">-provizioane privind participarea la profit a salariaţilor </t>
  </si>
  <si>
    <t>f1.2)</t>
  </si>
  <si>
    <t>- provizioane in legatura cu contractul de mandat</t>
  </si>
  <si>
    <t>130a</t>
  </si>
  <si>
    <t>venituri neimpozabile</t>
  </si>
  <si>
    <t>Plăţi restante</t>
  </si>
  <si>
    <t xml:space="preserve">Creanţe restante </t>
  </si>
  <si>
    <t>Număr mediu lunar de personal pe trimestru</t>
  </si>
  <si>
    <t>Număr efectiv de personal la sfârţitul fiecărui trimestru</t>
  </si>
  <si>
    <t>.- din participarea salariaţilor la profit, CONTR.de mandat</t>
  </si>
  <si>
    <t>CHELTUIELI TOTALE  (Rd.30+Rd.136+Rd.144)</t>
  </si>
  <si>
    <t xml:space="preserve">Cheltuieli de exploatare (Rd.31+Rd.79+Rd.86+Rd.120), din care: </t>
  </si>
  <si>
    <t xml:space="preserve">A. Cheltuieli cu bunuri şi servicii (Rd.32+Rd.40+Rd.46), din care: </t>
  </si>
  <si>
    <t>cheltuieli privind chiriile (Rd.43+Rd.44) din care:</t>
  </si>
  <si>
    <t xml:space="preserve">Cheltuieli cu alte servicii executate de terţi (Rd.47+Rd.48+Rd.50+Rd.57+Rd.62+Rd.63+Rd.67+   Rd.68+Rd.69+Rd.78), din care: </t>
  </si>
  <si>
    <t>cheltuieli de protocol, reclamă şi publicitate (Rd.51+Rd.53), din care:</t>
  </si>
  <si>
    <t>Ch. cu sponsorizarea (Rd.58+Rd.59+Rd.60+Rd.61), din care:</t>
  </si>
  <si>
    <t xml:space="preserve">B  Cheltuieli cu impozite, taxe şi vărsăminte asimilate (Rd.80+Rd.81+Rd.82+Rd.83+Rd.84+Rd.85), din care: </t>
  </si>
  <si>
    <t>C. Cheltuieli cu personalul (Rd.87+Rd.100+Rd.104+Rd.113), din care:</t>
  </si>
  <si>
    <t>Cheltuieli  cu salariile (Rd.89+Rd.90+Rd.91), din care:</t>
  </si>
  <si>
    <t xml:space="preserve">Cheltuieli cu asigurările şi protecţia socială, fondurile speciale şi alte obligaţii legale (Rd.114+Rd.115+Rd.116+Rd.117+Rd.118+Rd.119), din care: </t>
  </si>
  <si>
    <t>D. Alte cheltuieli de exploatare (Rd.121+Rd.124+Rd.125+Rd.126+Rd.127+Rd.128), din care:</t>
  </si>
  <si>
    <t xml:space="preserve">Cheltuieli financiare (Rd.137+Rd.140+Rd.143), din care: </t>
  </si>
  <si>
    <t>cheltuieli din diferenţe de curs valutar (Rd.141+Rd.142), din care:</t>
  </si>
  <si>
    <t>REZULTATUL BRUT (profit/pierdere) (Rd.1-Rd.29)</t>
  </si>
  <si>
    <t>Cheltuieli de natură salarială (Rd.87)</t>
  </si>
  <si>
    <t>Cheltuieli  cu salariile (Rd.88)</t>
  </si>
  <si>
    <t xml:space="preserve">Nr.mediu de salariaţi </t>
  </si>
  <si>
    <t>Castigul mediu lunar pe salariat deterninat pe baza cheltuielilor cu salariile              (Rd.151/Rd.153)/12*1000</t>
  </si>
  <si>
    <t xml:space="preserve"> b)</t>
  </si>
  <si>
    <t>Câştigul mediu  lunar pe salariat (lei/persoană) determinat pe baza cheltuielilor de natură salarială (Rd.150/Rd.153)/12*1000</t>
  </si>
  <si>
    <t>Productivitatea muncii în unităţi valorice pe total personal mediu (lei/persoană) (Rd.2/Rd.153)</t>
  </si>
  <si>
    <t>Productivitatea muncii în unităţi fizice pe total personal mediu (cantitate produse finite/persoană) W=QPF/Rd.153</t>
  </si>
  <si>
    <t>Elemente de calcul a productivitatii muncii in  unităţi fizice, din care</t>
  </si>
  <si>
    <t xml:space="preserve"> - cantitatea de produse finite (QPF)</t>
  </si>
  <si>
    <t xml:space="preserve"> - pret mediu (p)</t>
  </si>
  <si>
    <t xml:space="preserve"> - valoare=QPF x  p</t>
  </si>
  <si>
    <t xml:space="preserve"> - pondere in venituri totale de exploatare =   Rd.161/Rd.2</t>
  </si>
  <si>
    <t xml:space="preserve">Creanţe restante, din care: </t>
  </si>
  <si>
    <t xml:space="preserve"> - de la operatori cu capital integral/majoritar de stat</t>
  </si>
  <si>
    <t xml:space="preserve"> - de la operatori cu capital privat</t>
  </si>
  <si>
    <t xml:space="preserve"> - de la bugetul de stat</t>
  </si>
  <si>
    <t>din anularea provizioanelor (Rd. 133+ Rd.134+Rd.135), din care:</t>
  </si>
  <si>
    <t>cheltuieli privind ajustările şi provizioanele din care:</t>
  </si>
  <si>
    <t>cheltuieli privind dobânzile (Rd.138+Rd.139), din care:</t>
  </si>
  <si>
    <t>VENITURI TOTALE (Rd.2+Rd.22+Rd.28)</t>
  </si>
  <si>
    <t>CHELTUIELI TOTALE (Rd.30+Rd.136+Rd.144)</t>
  </si>
  <si>
    <t>Cheltuieli de exploatare (Rd.31+Rd.79+Rd.86+Rd.120), din care:</t>
  </si>
  <si>
    <t>Cheltuieli privind serviciile executate de terţi (Rd.41+Rd.42+Rd.45), din care:</t>
  </si>
  <si>
    <t>Cheltuieli cu alte servicii executate de terţi (Rd.47+Rd.48+Rd.50+Rd.57+Rd.62+Rd.63+Rd.67+ Rd.68+Rd.69+Rd.78), din care:</t>
  </si>
  <si>
    <t xml:space="preserve"> cheltuieli cu diurna (Rd.65+Rd.66), din care:</t>
  </si>
  <si>
    <t>B.   Cheltuieli cu impozite, taxe şi vărsăminte asimilate(R80+R81+Rd.82+Rd.83+Rd.84+ Rd.85), din care:</t>
  </si>
  <si>
    <t>D.  Alte cheltuieli de exploatare   (Rd.121+Rd.124+Rd.125+Rd. 126+Rd. 127+Rd. 128), din care:</t>
  </si>
  <si>
    <t>cheltuieli cu majorări şi penalităţi (Rd.122+Rd.123), din care:</t>
  </si>
  <si>
    <t>Cheltuieli financiare (Rd.137+Rd.140+Rd.143), din care:</t>
  </si>
  <si>
    <t xml:space="preserve"> Preliminat / Realizat</t>
  </si>
  <si>
    <t>A. Cheltuieli cu bunuri şi servicii (Rd.32+Rd.40+Rd.46), din care:</t>
  </si>
  <si>
    <t>C.  Cheltuieli cu personalul ( Rd.87+Rd.100+Rd. 104+Rd. 109)</t>
  </si>
  <si>
    <r>
      <rPr>
        <sz val="8"/>
        <rFont val="Tahoma"/>
        <family val="2"/>
      </rPr>
      <t>Nr.crt.</t>
    </r>
  </si>
  <si>
    <r>
      <rPr>
        <sz val="8"/>
        <rFont val="Tahoma"/>
        <family val="2"/>
      </rPr>
      <t>Perioada de rambursare în ani</t>
    </r>
  </si>
  <si>
    <r>
      <rPr>
        <sz val="8"/>
        <rFont val="Tahoma"/>
        <family val="2"/>
      </rPr>
      <t>Sold sf. an precedent (N-1)</t>
    </r>
  </si>
  <si>
    <r>
      <rPr>
        <sz val="8"/>
        <rFont val="Tahoma"/>
        <family val="2"/>
      </rPr>
      <t>Valoarea anuală scadentă în anul curent (N)</t>
    </r>
  </si>
  <si>
    <r>
      <rPr>
        <sz val="8"/>
        <rFont val="Tahoma"/>
        <family val="2"/>
      </rPr>
      <t>Valoarea anuală scadentă în anul N+1</t>
    </r>
  </si>
  <si>
    <r>
      <rPr>
        <sz val="8"/>
        <rFont val="Tahoma"/>
        <family val="2"/>
      </rPr>
      <t>Valoarea anuală scadentă In anul N+2</t>
    </r>
  </si>
  <si>
    <r>
      <rPr>
        <sz val="8"/>
        <rFont val="Tahoma"/>
        <family val="2"/>
      </rPr>
      <t>TOTAL din care:</t>
    </r>
  </si>
  <si>
    <r>
      <rPr>
        <sz val="8"/>
        <rFont val="Tahoma"/>
        <family val="2"/>
      </rPr>
      <t>rate</t>
    </r>
  </si>
  <si>
    <r>
      <rPr>
        <sz val="8"/>
        <rFont val="Tahoma"/>
        <family val="2"/>
      </rPr>
      <t>dobânzi</t>
    </r>
  </si>
  <si>
    <r>
      <rPr>
        <sz val="8"/>
        <rFont val="Tahoma"/>
        <family val="2"/>
      </rPr>
      <t>diferenţe de curs nefavorabile</t>
    </r>
  </si>
  <si>
    <r>
      <rPr>
        <sz val="8"/>
        <rFont val="Tahoma"/>
        <family val="2"/>
      </rPr>
      <t>comisioane</t>
    </r>
  </si>
  <si>
    <r>
      <rPr>
        <sz val="8"/>
        <rFont val="Tahoma"/>
        <family val="2"/>
      </rPr>
      <t>diferente de curs nefavorabile</t>
    </r>
  </si>
  <si>
    <r>
      <rPr>
        <sz val="8"/>
        <rFont val="Tahoma"/>
        <family val="2"/>
      </rPr>
      <t>0</t>
    </r>
  </si>
  <si>
    <r>
      <rPr>
        <sz val="8"/>
        <rFont val="Tahoma"/>
        <family val="2"/>
      </rPr>
      <t>1</t>
    </r>
  </si>
  <si>
    <r>
      <rPr>
        <sz val="8"/>
        <rFont val="Tahoma"/>
        <family val="2"/>
      </rPr>
      <t>3</t>
    </r>
  </si>
  <si>
    <r>
      <rPr>
        <sz val="8"/>
        <rFont val="Tahoma"/>
        <family val="2"/>
      </rPr>
      <t>4</t>
    </r>
  </si>
  <si>
    <r>
      <rPr>
        <sz val="8"/>
        <rFont val="Tahoma"/>
        <family val="2"/>
      </rPr>
      <t>5</t>
    </r>
  </si>
  <si>
    <r>
      <rPr>
        <sz val="8"/>
        <rFont val="Tahoma"/>
        <family val="2"/>
      </rPr>
      <t>6</t>
    </r>
  </si>
  <si>
    <r>
      <rPr>
        <sz val="8"/>
        <rFont val="Tahoma"/>
        <family val="2"/>
      </rPr>
      <t>7</t>
    </r>
  </si>
  <si>
    <r>
      <rPr>
        <sz val="8"/>
        <rFont val="Tahoma"/>
        <family val="2"/>
      </rPr>
      <t>8</t>
    </r>
  </si>
  <si>
    <r>
      <rPr>
        <sz val="8"/>
        <rFont val="Tahoma"/>
        <family val="2"/>
      </rPr>
      <t>9</t>
    </r>
  </si>
  <si>
    <r>
      <rPr>
        <sz val="8"/>
        <rFont val="Tahoma"/>
        <family val="2"/>
      </rPr>
      <t>10</t>
    </r>
  </si>
  <si>
    <r>
      <rPr>
        <sz val="8"/>
        <rFont val="Tahoma"/>
        <family val="2"/>
      </rPr>
      <t>11</t>
    </r>
  </si>
  <si>
    <r>
      <rPr>
        <sz val="8"/>
        <rFont val="Tahoma"/>
        <family val="2"/>
      </rPr>
      <t>12</t>
    </r>
  </si>
  <si>
    <r>
      <rPr>
        <sz val="8"/>
        <rFont val="Tahoma"/>
        <family val="2"/>
      </rPr>
      <t>13</t>
    </r>
  </si>
  <si>
    <r>
      <rPr>
        <sz val="8"/>
        <rFont val="Tahoma"/>
        <family val="2"/>
      </rPr>
      <t>14</t>
    </r>
  </si>
  <si>
    <r>
      <rPr>
        <sz val="8"/>
        <rFont val="Tahoma"/>
        <family val="2"/>
      </rPr>
      <t>15</t>
    </r>
  </si>
  <si>
    <r>
      <rPr>
        <sz val="8"/>
        <rFont val="Tahoma"/>
        <family val="2"/>
      </rPr>
      <t>18</t>
    </r>
  </si>
  <si>
    <r>
      <rPr>
        <sz val="8"/>
        <rFont val="Tahoma"/>
        <family val="2"/>
      </rPr>
      <t>A .Credite pentru activitatea curentă</t>
    </r>
  </si>
  <si>
    <r>
      <rPr>
        <sz val="8"/>
        <rFont val="Tahoma"/>
        <family val="2"/>
      </rPr>
      <t>a)</t>
    </r>
  </si>
  <si>
    <r>
      <rPr>
        <sz val="8"/>
        <rFont val="Tahoma"/>
        <family val="2"/>
      </rPr>
      <t>a1)</t>
    </r>
  </si>
  <si>
    <r>
      <rPr>
        <sz val="8"/>
        <rFont val="Tahoma"/>
        <family val="2"/>
      </rPr>
      <t>a2)</t>
    </r>
  </si>
  <si>
    <r>
      <rPr>
        <sz val="8"/>
        <rFont val="SimHei"/>
        <family val="3"/>
      </rPr>
      <t>b)</t>
    </r>
  </si>
  <si>
    <t>cheltuieli</t>
  </si>
  <si>
    <t>Venituri financiare (Rd.23+Rd.24+Rd.25+Rd.26+Rd.27), din care:</t>
  </si>
  <si>
    <t>C.  Cheltuieli cu personalul ( Rd.87+ Rd.100+Rd.104+Rd.113),din care</t>
  </si>
  <si>
    <t>Cheltuieli cu asigurările şi protecţia socială, fondurile speciale şi alte obligaţii legale(Rd.114+Rd.115+Rd.116+Rd.117+ Rd.118+Rd.119), din care:</t>
  </si>
  <si>
    <t>Venituri din exploatare (Rd.3+Rd.8+Rd.9+ Rd.12+Rd.13+Rd.14), din care:</t>
  </si>
  <si>
    <t>Aprobat conform Hotararii AGA</t>
  </si>
  <si>
    <r>
      <rPr>
        <b/>
        <sz val="10"/>
        <rFont val="Arial"/>
        <family val="2"/>
      </rPr>
      <t>7=6/5</t>
    </r>
  </si>
  <si>
    <t>alte venituri din exploatare (Rd.15+Rd.16+Rd.19+Rd.20+Rd.21), din care:</t>
  </si>
  <si>
    <t>Cheltuieli aferente contractului de mandat si a altor organe de conducere si control, comisii si comitete (Rd. 105+Rd.108+Rd. 111+ Rd.112), din care:</t>
  </si>
  <si>
    <t>cheltuieli cu majorări şl penalităţi (Rd.122+Rd.123), din care:</t>
  </si>
  <si>
    <t>ajustări şi deprecieri pentru pierdere de valoare şi provizioane (Rd.129-Rd. 131), din care:</t>
  </si>
  <si>
    <t>din anularea provizioanelor (Rd. 133+Rd. 134+Rd.135), din care:</t>
  </si>
  <si>
    <t>Detalierea indicatorilor economico-financiari prevazuti</t>
  </si>
  <si>
    <t>Gradul de realizare a veniturilor</t>
  </si>
  <si>
    <t>Repartizarea pe trimestre a indicatorilor</t>
  </si>
  <si>
    <t>ANEXA de fundamentare Nr.7</t>
  </si>
  <si>
    <t xml:space="preserve">                                                                                                              ANEXA de fundamentare Nr.2</t>
  </si>
  <si>
    <t>ANEXA de fundamentare Nr.3</t>
  </si>
  <si>
    <t>ANEXA de fundamentare Nr.4</t>
  </si>
  <si>
    <t>Programul de reducere al a platilor restante cu prezentarea surselor</t>
  </si>
  <si>
    <r>
      <t xml:space="preserve">  </t>
    </r>
    <r>
      <rPr>
        <b/>
        <sz val="10"/>
        <rFont val="Arial"/>
        <family val="2"/>
      </rPr>
      <t>Mentiune</t>
    </r>
    <r>
      <rPr>
        <sz val="10"/>
        <rFont val="Arial"/>
        <family val="2"/>
      </rPr>
      <t>: AQUATIM SA nu este in situatia de a inregistra plati restante</t>
    </r>
  </si>
  <si>
    <t>ANEXA de fundamentare Nr.6</t>
  </si>
  <si>
    <r>
      <rPr>
        <sz val="8"/>
        <rFont val="Tahoma"/>
        <family val="2"/>
      </rPr>
      <t>B. Credite pentru investiţii</t>
    </r>
  </si>
  <si>
    <t>din producţia vândută (Rd.4+Rd.5+Rd.6+ Rd.7), din care:</t>
  </si>
  <si>
    <r>
      <t>din subvenţii şi transferuri de exploatare aferente cifrei de afaceri nete (Rd.10+Rd. 11</t>
    </r>
    <r>
      <rPr>
        <i/>
        <sz val="10"/>
        <rFont val="Arial"/>
        <family val="2"/>
      </rPr>
      <t>),</t>
    </r>
    <r>
      <rPr>
        <sz val="10"/>
        <rFont val="Arial"/>
        <family val="2"/>
      </rPr>
      <t xml:space="preserve"> din care:</t>
    </r>
  </si>
  <si>
    <t>c2</t>
  </si>
  <si>
    <t>din investiţii financiare</t>
  </si>
  <si>
    <r>
      <t>Cheltuieli privind stocurile (Rd.33+Rd.34+Rd.37+Rd.38+Rd.39)</t>
    </r>
    <r>
      <rPr>
        <vertAlign val="subscript"/>
        <sz val="10"/>
        <rFont val="Arial"/>
        <family val="2"/>
      </rPr>
      <t>f</t>
    </r>
    <r>
      <rPr>
        <sz val="10"/>
        <rFont val="Arial"/>
        <family val="2"/>
      </rPr>
      <t xml:space="preserve"> din care:</t>
    </r>
  </si>
  <si>
    <r>
      <rPr>
        <i/>
        <sz val="10"/>
        <rFont val="Arial"/>
        <family val="2"/>
      </rPr>
      <t>f)</t>
    </r>
  </si>
  <si>
    <t>a) salarii de bază</t>
  </si>
  <si>
    <t>Venituri proprii din exploatare (*):</t>
  </si>
  <si>
    <t>Valoarea creditului conform contracte</t>
  </si>
  <si>
    <t xml:space="preserve">                  Masuri de imbunatatire a rezultatului brut</t>
  </si>
  <si>
    <t>ANEXA de fundamentare Nr.8</t>
  </si>
  <si>
    <t>4=3/2</t>
  </si>
  <si>
    <t>7=6/5</t>
  </si>
  <si>
    <t>ch.de sponsori are a cluburilor sportive</t>
  </si>
  <si>
    <t>cheltuieli cu prestaţiile efectuate intern</t>
  </si>
  <si>
    <t>Alocaţii de la buget(local+stat)- cofinantare POS Mediu</t>
  </si>
  <si>
    <t>Creanţe restante-cf anexa2=valoarea provizioanelor anuale</t>
  </si>
  <si>
    <t xml:space="preserve"> - de la bugetul local -cv. Facturi</t>
  </si>
  <si>
    <t xml:space="preserve"> - de la bugetul local - contributie fd. IID</t>
  </si>
  <si>
    <t>Creanţe restante, în preţuri curente(clienti + fond IID)</t>
  </si>
  <si>
    <t>contul</t>
  </si>
  <si>
    <t>704apa</t>
  </si>
  <si>
    <t>704canal</t>
  </si>
  <si>
    <t>704-alte venituri</t>
  </si>
  <si>
    <t>706-venit din chirii</t>
  </si>
  <si>
    <t>708-alte venituri din prest.diverse</t>
  </si>
  <si>
    <t>714-subv.pt.plata personalului</t>
  </si>
  <si>
    <t>722 venituri din imobilizari</t>
  </si>
  <si>
    <t>7581-venit din major.abonati;penaliz.</t>
  </si>
  <si>
    <t>7583-v.vz.active corp.</t>
  </si>
  <si>
    <t>7583-v.vz.active necorp.</t>
  </si>
  <si>
    <t>7582-v. din subv.pt.invest.</t>
  </si>
  <si>
    <t>754;7588</t>
  </si>
  <si>
    <t>765 v.financ.din difer.curs</t>
  </si>
  <si>
    <t xml:space="preserve">766 v.financ.din dobanzi </t>
  </si>
  <si>
    <t>767 alte v.financ.</t>
  </si>
  <si>
    <t>601 ch.materii prime</t>
  </si>
  <si>
    <t>602 ch.materiale</t>
  </si>
  <si>
    <t xml:space="preserve">cheltuieli materiale </t>
  </si>
  <si>
    <t>cheltuieli materiale consumabile</t>
  </si>
  <si>
    <t>602+6021</t>
  </si>
  <si>
    <t>cheltuieli  piesele de schimb</t>
  </si>
  <si>
    <t>cheltuieli  mater.pompe,fitinguri</t>
  </si>
  <si>
    <t>cheltuieli  ate materiale</t>
  </si>
  <si>
    <t>6028;6029</t>
  </si>
  <si>
    <t>chelt.ambalaje</t>
  </si>
  <si>
    <t>chelt.bonific.acordate</t>
  </si>
  <si>
    <t>cheltuieli cu combustibilii - receptie</t>
  </si>
  <si>
    <t>cheltuieli cu combustibilii- nestocat</t>
  </si>
  <si>
    <t>apa captata</t>
  </si>
  <si>
    <t>605APA CAPT</t>
  </si>
  <si>
    <t>consum intern apa</t>
  </si>
  <si>
    <t>605APA.INT</t>
  </si>
  <si>
    <t>energie electrica</t>
  </si>
  <si>
    <t>605ELECTRIC</t>
  </si>
  <si>
    <t>chelt.consum gaz</t>
  </si>
  <si>
    <t>605GAZ</t>
  </si>
  <si>
    <t>chelt. Energie termica</t>
  </si>
  <si>
    <t>605TERMICA</t>
  </si>
  <si>
    <t>chelt.intretineri reparatii</t>
  </si>
  <si>
    <t>611;611neded</t>
  </si>
  <si>
    <t>chelt.refacere carosabil</t>
  </si>
  <si>
    <t>chelt.intretineri reparatii  - TEHNICA CALC.</t>
  </si>
  <si>
    <t>611IT</t>
  </si>
  <si>
    <t>CONCESIUNE</t>
  </si>
  <si>
    <t>612CONCES</t>
  </si>
  <si>
    <t>∑   613</t>
  </si>
  <si>
    <t>∑   623PROTOCOL</t>
  </si>
  <si>
    <t>∑   623PUBLICIT</t>
  </si>
  <si>
    <t>6582CS</t>
  </si>
  <si>
    <t>6582UC</t>
  </si>
  <si>
    <t>6582AU</t>
  </si>
  <si>
    <t>6582AS</t>
  </si>
  <si>
    <t>cheltuieli cu transportul de persoane - abonamente RATT</t>
  </si>
  <si>
    <t>624ratt</t>
  </si>
  <si>
    <t>cheltuieli cu transportul de PAMANT ST.EPUR.</t>
  </si>
  <si>
    <t>624TR.PAM.</t>
  </si>
  <si>
    <t>ALTE cheltuieli cu transportul de bunuri şi persoane</t>
  </si>
  <si>
    <t>625DIURNA EXT.</t>
  </si>
  <si>
    <t>625DIURNA INT</t>
  </si>
  <si>
    <t>TOTAL  628;614</t>
  </si>
  <si>
    <t>628PAZA</t>
  </si>
  <si>
    <t>628IT</t>
  </si>
  <si>
    <t>628SV.REEVAL</t>
  </si>
  <si>
    <t>628DIS</t>
  </si>
  <si>
    <t>628ANUNTURI</t>
  </si>
  <si>
    <t>SERV.TERTI - GUNOI RETIM</t>
  </si>
  <si>
    <t>628GUNOI</t>
  </si>
  <si>
    <t>SERV.TERTI - ITP REVIZII</t>
  </si>
  <si>
    <t>628ITP</t>
  </si>
  <si>
    <t>SERV.TERTI -PROT.MCII</t>
  </si>
  <si>
    <t>628PROT.MCI</t>
  </si>
  <si>
    <t>ALTE CHELT.SERV.TERTI</t>
  </si>
  <si>
    <t>628,628DERATIZ; ETC</t>
  </si>
  <si>
    <t>612REDEVENTA</t>
  </si>
  <si>
    <t>635ANRSC</t>
  </si>
  <si>
    <t>635AUTORIZARI</t>
  </si>
  <si>
    <t>635MEDIU</t>
  </si>
  <si>
    <t>ALTE TAXE 635</t>
  </si>
  <si>
    <t>Cotizatie ANRSC 1%</t>
  </si>
  <si>
    <t>635ANRSC1</t>
  </si>
  <si>
    <t>taxe mijl. Transport</t>
  </si>
  <si>
    <t>635AUTO</t>
  </si>
  <si>
    <t>Impozit constructii</t>
  </si>
  <si>
    <t>635CONSTRUCTII</t>
  </si>
  <si>
    <t>impozit cladiri</t>
  </si>
  <si>
    <t>6354IMP.CLAD</t>
  </si>
  <si>
    <t>impozit teren</t>
  </si>
  <si>
    <t>635IMP.TERE</t>
  </si>
  <si>
    <t>ch.taxa firma</t>
  </si>
  <si>
    <t>635FIRMA</t>
  </si>
  <si>
    <t xml:space="preserve">diverse taxe pt. licente </t>
  </si>
  <si>
    <t>635LICENTA</t>
  </si>
  <si>
    <t>alte taxe; cotizatii ARA;CCIT</t>
  </si>
  <si>
    <t>alte  635</t>
  </si>
  <si>
    <t>TAXA fond handicapati</t>
  </si>
  <si>
    <t>635solidar</t>
  </si>
  <si>
    <t>6458tichete</t>
  </si>
  <si>
    <t>642tichete</t>
  </si>
  <si>
    <t>641MANAG.CM</t>
  </si>
  <si>
    <t>641CA</t>
  </si>
  <si>
    <t>641AGA</t>
  </si>
  <si>
    <t>6581CTR</t>
  </si>
  <si>
    <t>6812</t>
  </si>
  <si>
    <t xml:space="preserve">                                            pe anul  2015</t>
  </si>
  <si>
    <t xml:space="preserve"> către operatori cu capital integral/majoritar de stat   din care:</t>
  </si>
  <si>
    <t xml:space="preserve">         anul  2015</t>
  </si>
  <si>
    <t>Realizari  2014</t>
  </si>
  <si>
    <t xml:space="preserve">                                         anul  2015</t>
  </si>
  <si>
    <t>BVC 2014</t>
  </si>
  <si>
    <t>Propuneri an curent (2015)</t>
  </si>
  <si>
    <t xml:space="preserve">Realizat/ Preliminat an precedent     (2014) </t>
  </si>
  <si>
    <t>Estimări            an                   2016</t>
  </si>
  <si>
    <t>Estimări an              2017</t>
  </si>
  <si>
    <t>Prevederi an precedent                                ( 2014 )</t>
  </si>
  <si>
    <t>Propuneri an curent (N) 2015</t>
  </si>
  <si>
    <t xml:space="preserve">     in anii precedenti 2013 si 2014</t>
  </si>
  <si>
    <t xml:space="preserve">economico-financiari din bugetul  de venituri si cheltuieli pe anul  2015 </t>
  </si>
  <si>
    <t xml:space="preserve">                           in Bugetul de Venituri si Cheltuieli pe anul 2015 </t>
  </si>
  <si>
    <t>pe anul 2015</t>
  </si>
  <si>
    <t xml:space="preserve">  LOCALITATI TM</t>
  </si>
  <si>
    <t>SUCURSALA  DETA</t>
  </si>
  <si>
    <t>SUCURSALA JIMBOLIA</t>
  </si>
  <si>
    <t>SUCURSALA SANNICOLAU MARE</t>
  </si>
  <si>
    <t>SUCURSALA FAGET</t>
  </si>
  <si>
    <t>SUCURSALA BUZIAS</t>
  </si>
  <si>
    <t xml:space="preserve"> anul N-1 ( 2014)</t>
  </si>
  <si>
    <t xml:space="preserve"> anul N-2  ( 2013)</t>
  </si>
  <si>
    <t>realiz.la 11.2014</t>
  </si>
  <si>
    <t>realiz.in 12.2014</t>
  </si>
  <si>
    <t>BVC 2014 rectificat ian.2015</t>
  </si>
  <si>
    <t>an precedent 2014</t>
  </si>
  <si>
    <t>an curent 2015</t>
  </si>
  <si>
    <t xml:space="preserve"> si reducere a arieratelor  - an 2015</t>
  </si>
  <si>
    <t>.-interna</t>
  </si>
  <si>
    <t xml:space="preserve">rd.13 col.4si5 anexa 1 </t>
  </si>
  <si>
    <t>rd.14 col.4si5 anexa1</t>
  </si>
  <si>
    <t>Propuneri an curent - initial (2015)</t>
  </si>
  <si>
    <t>diferente</t>
  </si>
  <si>
    <t>Propuneri an curent (2015) rectificat 06.2015</t>
  </si>
  <si>
    <t>Propuneri  rectificat 06.2015</t>
  </si>
  <si>
    <t>Propuneri an curent (2015) initial</t>
  </si>
  <si>
    <t>Propuneri an curent (2015)-rectificat 06.2015</t>
  </si>
  <si>
    <t>dioferente</t>
  </si>
  <si>
    <t>rectificata</t>
  </si>
  <si>
    <t>pe anul   2015 - rectificat</t>
  </si>
  <si>
    <t>Lei</t>
  </si>
  <si>
    <t xml:space="preserve">    Anexa privind modificarile in Bugetul de Venituri </t>
  </si>
  <si>
    <t xml:space="preserve">si Cheltuieli al AQUATIM SA pe 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</si>
</sst>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_ ;\-#,##0.00\ "/>
    <numFmt numFmtId="168" formatCode="0.0%"/>
    <numFmt numFmtId="169" formatCode="0.00000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8"/>
      <name val="SimHei"/>
      <family val="3"/>
    </font>
    <font>
      <sz val="12"/>
      <name val="Arial"/>
      <family val="2"/>
    </font>
    <font>
      <vertAlign val="subscript"/>
      <sz val="10"/>
      <name val="Arial"/>
      <family val="2"/>
    </font>
    <font>
      <sz val="10"/>
      <color theme="0"/>
      <name val="Arial"/>
      <family val="2"/>
    </font>
    <font>
      <sz val="8"/>
      <color rgb="FF0070C0"/>
      <name val="Arial"/>
      <family val="2"/>
    </font>
    <font>
      <sz val="8"/>
      <name val="Calibri"/>
      <family val="2"/>
    </font>
    <font>
      <sz val="10"/>
      <color rgb="FF0070C0"/>
      <name val="Calibri"/>
      <family val="2"/>
      <scheme val="minor"/>
    </font>
    <font>
      <b/>
      <sz val="8"/>
      <color rgb="FFFF0000"/>
      <name val="Arial"/>
      <family val="2"/>
    </font>
    <font>
      <sz val="8"/>
      <color rgb="FF0070C0"/>
      <name val="Calibri"/>
      <family val="2"/>
      <scheme val="minor"/>
    </font>
    <font>
      <sz val="10"/>
      <name val="Arial"/>
      <family val="2"/>
    </font>
    <font>
      <sz val="8"/>
      <color rgb="FFFF0000"/>
      <name val="Arial"/>
      <family val="2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6E5B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CC"/>
        <bgColor indexed="64"/>
      </patternFill>
    </fill>
  </fills>
  <borders count="69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64" fontId="9" fillId="0" borderId="0" applyFont="0" applyFill="0" applyBorder="0" applyAlignment="0" applyProtection="0"/>
    <xf numFmtId="0" fontId="14" fillId="0" borderId="1"/>
    <xf numFmtId="0" fontId="14" fillId="0" borderId="1"/>
    <xf numFmtId="44" fontId="25" fillId="0" borderId="0" applyFont="0" applyFill="0" applyBorder="0" applyAlignment="0" applyProtection="0"/>
  </cellStyleXfs>
  <cellXfs count="1090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0" xfId="0" applyFont="1" applyBorder="1" applyAlignment="1">
      <alignment horizontal="center" vertical="top"/>
    </xf>
    <xf numFmtId="0" fontId="1" fillId="0" borderId="10" xfId="0" applyFont="1" applyBorder="1" applyAlignment="1">
      <alignment horizontal="left" vertical="top" indent="2"/>
    </xf>
    <xf numFmtId="0" fontId="1" fillId="0" borderId="1" xfId="0" applyFont="1" applyBorder="1" applyAlignment="1">
      <alignment vertical="top"/>
    </xf>
    <xf numFmtId="0" fontId="1" fillId="0" borderId="0" xfId="0" applyFont="1" applyAlignment="1"/>
    <xf numFmtId="0" fontId="1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 indent="1"/>
    </xf>
    <xf numFmtId="0" fontId="1" fillId="0" borderId="0" xfId="0" applyFont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7" fillId="0" borderId="2" xfId="0" applyFont="1" applyBorder="1"/>
    <xf numFmtId="0" fontId="1" fillId="0" borderId="6" xfId="0" applyFont="1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7" fillId="0" borderId="3" xfId="0" applyFont="1" applyBorder="1"/>
    <xf numFmtId="0" fontId="1" fillId="0" borderId="18" xfId="0" applyFont="1" applyBorder="1"/>
    <xf numFmtId="0" fontId="0" fillId="0" borderId="1" xfId="0" applyBorder="1"/>
    <xf numFmtId="0" fontId="1" fillId="0" borderId="1" xfId="0" applyFont="1" applyBorder="1"/>
    <xf numFmtId="0" fontId="7" fillId="0" borderId="1" xfId="0" applyFont="1" applyBorder="1"/>
    <xf numFmtId="0" fontId="2" fillId="0" borderId="0" xfId="0" applyFont="1"/>
    <xf numFmtId="10" fontId="1" fillId="0" borderId="0" xfId="0" applyNumberFormat="1" applyFont="1" applyAlignment="1">
      <alignment horizontal="center"/>
    </xf>
    <xf numFmtId="0" fontId="0" fillId="0" borderId="4" xfId="0" applyBorder="1"/>
    <xf numFmtId="0" fontId="0" fillId="0" borderId="18" xfId="0" applyBorder="1"/>
    <xf numFmtId="0" fontId="0" fillId="0" borderId="6" xfId="0" applyBorder="1"/>
    <xf numFmtId="0" fontId="0" fillId="0" borderId="0" xfId="0" applyAlignment="1">
      <alignment vertical="center"/>
    </xf>
    <xf numFmtId="0" fontId="8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23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11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 indent="2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13" xfId="0" applyFont="1" applyBorder="1" applyAlignment="1">
      <alignment horizontal="left" vertical="top" indent="2"/>
    </xf>
    <xf numFmtId="0" fontId="1" fillId="0" borderId="23" xfId="0" applyFont="1" applyBorder="1" applyAlignment="1">
      <alignment horizontal="left" vertical="top"/>
    </xf>
    <xf numFmtId="3" fontId="1" fillId="0" borderId="13" xfId="0" applyNumberFormat="1" applyFont="1" applyBorder="1" applyAlignment="1">
      <alignment vertical="top"/>
    </xf>
    <xf numFmtId="0" fontId="10" fillId="0" borderId="0" xfId="0" applyFont="1"/>
    <xf numFmtId="0" fontId="10" fillId="0" borderId="1" xfId="0" applyFont="1" applyBorder="1"/>
    <xf numFmtId="0" fontId="11" fillId="0" borderId="0" xfId="0" applyFont="1"/>
    <xf numFmtId="0" fontId="10" fillId="0" borderId="13" xfId="0" applyFont="1" applyBorder="1"/>
    <xf numFmtId="0" fontId="1" fillId="5" borderId="0" xfId="0" applyFont="1" applyFill="1"/>
    <xf numFmtId="0" fontId="1" fillId="0" borderId="8" xfId="0" applyFont="1" applyBorder="1" applyAlignment="1">
      <alignment horizontal="right" vertical="top"/>
    </xf>
    <xf numFmtId="3" fontId="1" fillId="0" borderId="13" xfId="1" applyNumberFormat="1" applyFont="1" applyBorder="1" applyAlignment="1">
      <alignment vertical="top"/>
    </xf>
    <xf numFmtId="3" fontId="1" fillId="0" borderId="28" xfId="0" applyNumberFormat="1" applyFont="1" applyBorder="1" applyAlignment="1">
      <alignment vertical="top"/>
    </xf>
    <xf numFmtId="0" fontId="1" fillId="0" borderId="25" xfId="0" applyFont="1" applyBorder="1" applyAlignment="1">
      <alignment horizontal="left" vertical="top" indent="2"/>
    </xf>
    <xf numFmtId="3" fontId="1" fillId="0" borderId="25" xfId="0" applyNumberFormat="1" applyFont="1" applyBorder="1" applyAlignment="1">
      <alignment vertical="top"/>
    </xf>
    <xf numFmtId="3" fontId="1" fillId="0" borderId="25" xfId="1" applyNumberFormat="1" applyFont="1" applyBorder="1" applyAlignment="1">
      <alignment vertical="top"/>
    </xf>
    <xf numFmtId="0" fontId="1" fillId="0" borderId="0" xfId="0" applyFont="1" applyAlignment="1">
      <alignment horizontal="right"/>
    </xf>
    <xf numFmtId="0" fontId="1" fillId="0" borderId="27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/>
    </xf>
    <xf numFmtId="0" fontId="1" fillId="0" borderId="2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0" fontId="1" fillId="0" borderId="13" xfId="2" applyFont="1" applyFill="1" applyBorder="1" applyAlignment="1">
      <alignment vertical="center" wrapText="1"/>
    </xf>
    <xf numFmtId="0" fontId="12" fillId="0" borderId="0" xfId="0" applyFont="1"/>
    <xf numFmtId="165" fontId="10" fillId="0" borderId="1" xfId="1" applyNumberFormat="1" applyFont="1" applyFill="1" applyBorder="1"/>
    <xf numFmtId="165" fontId="10" fillId="0" borderId="1" xfId="1" applyNumberFormat="1" applyFont="1" applyBorder="1"/>
    <xf numFmtId="0" fontId="10" fillId="0" borderId="1" xfId="0" applyFont="1" applyFill="1" applyBorder="1"/>
    <xf numFmtId="0" fontId="12" fillId="0" borderId="1" xfId="0" applyFont="1" applyFill="1" applyBorder="1"/>
    <xf numFmtId="3" fontId="10" fillId="0" borderId="1" xfId="0" applyNumberFormat="1" applyFont="1" applyFill="1" applyBorder="1"/>
    <xf numFmtId="0" fontId="10" fillId="0" borderId="0" xfId="0" applyFont="1" applyFill="1"/>
    <xf numFmtId="0" fontId="1" fillId="0" borderId="13" xfId="3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/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/>
    </xf>
    <xf numFmtId="3" fontId="12" fillId="3" borderId="10" xfId="0" applyNumberFormat="1" applyFont="1" applyFill="1" applyBorder="1" applyAlignment="1">
      <alignment horizontal="right" vertical="center"/>
    </xf>
    <xf numFmtId="3" fontId="10" fillId="0" borderId="10" xfId="0" applyNumberFormat="1" applyFont="1" applyBorder="1" applyAlignment="1">
      <alignment horizontal="right" vertical="center"/>
    </xf>
    <xf numFmtId="3" fontId="10" fillId="0" borderId="10" xfId="1" applyNumberFormat="1" applyFont="1" applyBorder="1" applyAlignment="1">
      <alignment horizontal="right" vertical="top" indent="1"/>
    </xf>
    <xf numFmtId="3" fontId="10" fillId="0" borderId="10" xfId="1" applyNumberFormat="1" applyFont="1" applyBorder="1" applyAlignment="1">
      <alignment horizontal="right" vertical="top"/>
    </xf>
    <xf numFmtId="3" fontId="10" fillId="0" borderId="10" xfId="0" applyNumberFormat="1" applyFont="1" applyBorder="1" applyAlignment="1">
      <alignment vertical="center"/>
    </xf>
    <xf numFmtId="3" fontId="10" fillId="0" borderId="10" xfId="1" applyNumberFormat="1" applyFont="1" applyBorder="1" applyAlignment="1">
      <alignment vertical="top"/>
    </xf>
    <xf numFmtId="3" fontId="10" fillId="5" borderId="10" xfId="1" applyNumberFormat="1" applyFont="1" applyFill="1" applyBorder="1" applyAlignment="1">
      <alignment vertical="top"/>
    </xf>
    <xf numFmtId="0" fontId="10" fillId="5" borderId="10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center" vertical="center"/>
    </xf>
    <xf numFmtId="3" fontId="12" fillId="4" borderId="10" xfId="0" applyNumberFormat="1" applyFont="1" applyFill="1" applyBorder="1" applyAlignment="1">
      <alignment horizontal="right" vertical="center"/>
    </xf>
    <xf numFmtId="0" fontId="12" fillId="4" borderId="10" xfId="0" applyFont="1" applyFill="1" applyBorder="1" applyAlignment="1">
      <alignment horizontal="center" vertical="center"/>
    </xf>
    <xf numFmtId="3" fontId="10" fillId="4" borderId="10" xfId="0" applyNumberFormat="1" applyFont="1" applyFill="1" applyBorder="1" applyAlignment="1">
      <alignment horizontal="right" vertical="center"/>
    </xf>
    <xf numFmtId="3" fontId="10" fillId="5" borderId="10" xfId="0" applyNumberFormat="1" applyFont="1" applyFill="1" applyBorder="1" applyAlignment="1">
      <alignment horizontal="right" vertical="center"/>
    </xf>
    <xf numFmtId="0" fontId="10" fillId="5" borderId="10" xfId="0" applyFont="1" applyFill="1" applyBorder="1" applyAlignment="1">
      <alignment horizontal="left" vertical="center" wrapText="1"/>
    </xf>
    <xf numFmtId="0" fontId="12" fillId="10" borderId="13" xfId="3" applyFont="1" applyFill="1" applyBorder="1" applyAlignment="1">
      <alignment horizontal="center" vertical="center"/>
    </xf>
    <xf numFmtId="0" fontId="12" fillId="10" borderId="13" xfId="3" applyFont="1" applyFill="1" applyBorder="1" applyAlignment="1">
      <alignment horizontal="left" vertical="top" wrapText="1"/>
    </xf>
    <xf numFmtId="49" fontId="12" fillId="10" borderId="13" xfId="3" applyNumberFormat="1" applyFont="1" applyFill="1" applyBorder="1" applyAlignment="1">
      <alignment horizontal="left" vertical="top" wrapText="1"/>
    </xf>
    <xf numFmtId="0" fontId="12" fillId="0" borderId="13" xfId="3" applyFont="1" applyFill="1" applyBorder="1" applyAlignment="1">
      <alignment horizontal="left" vertical="top" wrapText="1"/>
    </xf>
    <xf numFmtId="0" fontId="12" fillId="10" borderId="13" xfId="3" applyFont="1" applyFill="1" applyBorder="1" applyAlignment="1">
      <alignment horizontal="left" vertical="center"/>
    </xf>
    <xf numFmtId="49" fontId="12" fillId="10" borderId="17" xfId="3" applyNumberFormat="1" applyFont="1" applyFill="1" applyBorder="1" applyAlignment="1">
      <alignment horizontal="left" vertical="top" wrapText="1"/>
    </xf>
    <xf numFmtId="0" fontId="10" fillId="10" borderId="13" xfId="3" applyFont="1" applyFill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3" fontId="10" fillId="0" borderId="8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13" xfId="0" applyNumberFormat="1" applyFont="1" applyBorder="1"/>
    <xf numFmtId="3" fontId="10" fillId="0" borderId="9" xfId="0" applyNumberFormat="1" applyFont="1" applyBorder="1" applyAlignment="1">
      <alignment horizontal="right" vertical="center"/>
    </xf>
    <xf numFmtId="0" fontId="12" fillId="0" borderId="10" xfId="0" applyFont="1" applyBorder="1" applyAlignment="1">
      <alignment horizontal="center" vertical="center"/>
    </xf>
    <xf numFmtId="3" fontId="12" fillId="0" borderId="10" xfId="0" applyNumberFormat="1" applyFont="1" applyBorder="1" applyAlignment="1">
      <alignment horizontal="right" vertical="center"/>
    </xf>
    <xf numFmtId="0" fontId="12" fillId="10" borderId="33" xfId="3" applyFont="1" applyFill="1" applyBorder="1" applyAlignment="1">
      <alignment horizontal="left" vertical="top" wrapText="1"/>
    </xf>
    <xf numFmtId="0" fontId="10" fillId="0" borderId="17" xfId="3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center" vertical="center"/>
    </xf>
    <xf numFmtId="0" fontId="10" fillId="0" borderId="13" xfId="3" applyFont="1" applyFill="1" applyBorder="1" applyAlignment="1">
      <alignment horizontal="center"/>
    </xf>
    <xf numFmtId="0" fontId="10" fillId="0" borderId="13" xfId="0" applyFont="1" applyFill="1" applyBorder="1"/>
    <xf numFmtId="0" fontId="10" fillId="0" borderId="13" xfId="3" applyFont="1" applyFill="1" applyBorder="1" applyAlignment="1">
      <alignment horizontal="center" vertical="center"/>
    </xf>
    <xf numFmtId="3" fontId="0" fillId="0" borderId="0" xfId="0" applyNumberFormat="1"/>
    <xf numFmtId="3" fontId="10" fillId="8" borderId="10" xfId="0" applyNumberFormat="1" applyFont="1" applyFill="1" applyBorder="1" applyAlignment="1">
      <alignment horizontal="right" vertical="center"/>
    </xf>
    <xf numFmtId="0" fontId="11" fillId="0" borderId="0" xfId="0" applyFont="1" applyFill="1"/>
    <xf numFmtId="0" fontId="10" fillId="0" borderId="0" xfId="0" applyFont="1" applyAlignment="1">
      <alignment horizontal="left"/>
    </xf>
    <xf numFmtId="165" fontId="10" fillId="0" borderId="13" xfId="1" applyNumberFormat="1" applyFont="1" applyBorder="1"/>
    <xf numFmtId="0" fontId="2" fillId="0" borderId="28" xfId="3" applyFont="1" applyFill="1" applyBorder="1" applyAlignment="1">
      <alignment horizontal="center" vertical="center" wrapText="1"/>
    </xf>
    <xf numFmtId="0" fontId="2" fillId="0" borderId="29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Fill="1"/>
    <xf numFmtId="0" fontId="4" fillId="0" borderId="0" xfId="0" applyFont="1" applyFill="1"/>
    <xf numFmtId="0" fontId="10" fillId="0" borderId="13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top" indent="1"/>
    </xf>
    <xf numFmtId="0" fontId="10" fillId="0" borderId="30" xfId="0" applyFont="1" applyBorder="1" applyAlignment="1">
      <alignment horizontal="center" vertical="top"/>
    </xf>
    <xf numFmtId="0" fontId="10" fillId="0" borderId="25" xfId="0" applyFont="1" applyBorder="1" applyAlignment="1">
      <alignment horizontal="center" vertical="top"/>
    </xf>
    <xf numFmtId="0" fontId="10" fillId="0" borderId="25" xfId="0" applyFont="1" applyBorder="1" applyAlignment="1">
      <alignment horizontal="left" vertical="top"/>
    </xf>
    <xf numFmtId="0" fontId="10" fillId="0" borderId="25" xfId="0" applyFont="1" applyBorder="1" applyAlignment="1">
      <alignment vertical="top"/>
    </xf>
    <xf numFmtId="0" fontId="10" fillId="0" borderId="31" xfId="0" applyFont="1" applyBorder="1" applyAlignment="1">
      <alignment horizontal="center" vertical="top"/>
    </xf>
    <xf numFmtId="0" fontId="10" fillId="0" borderId="23" xfId="0" applyFont="1" applyBorder="1" applyAlignment="1">
      <alignment horizontal="left" vertical="top" indent="1"/>
    </xf>
    <xf numFmtId="0" fontId="10" fillId="0" borderId="13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 indent="2"/>
    </xf>
    <xf numFmtId="0" fontId="10" fillId="0" borderId="30" xfId="0" applyFont="1" applyBorder="1" applyAlignment="1">
      <alignment horizontal="left" vertical="top"/>
    </xf>
    <xf numFmtId="0" fontId="15" fillId="0" borderId="13" xfId="0" applyFont="1" applyBorder="1" applyAlignment="1">
      <alignment horizontal="left" vertical="top"/>
    </xf>
    <xf numFmtId="0" fontId="10" fillId="0" borderId="30" xfId="0" applyFont="1" applyBorder="1"/>
    <xf numFmtId="3" fontId="15" fillId="0" borderId="13" xfId="0" applyNumberFormat="1" applyFont="1" applyBorder="1" applyAlignment="1">
      <alignment horizontal="left" vertical="top"/>
    </xf>
    <xf numFmtId="165" fontId="10" fillId="0" borderId="30" xfId="1" applyNumberFormat="1" applyFont="1" applyBorder="1"/>
    <xf numFmtId="0" fontId="1" fillId="0" borderId="13" xfId="3" applyFont="1" applyFill="1" applyBorder="1" applyAlignment="1">
      <alignment horizontal="left" vertical="center"/>
    </xf>
    <xf numFmtId="0" fontId="1" fillId="5" borderId="0" xfId="0" applyFont="1" applyFill="1" applyAlignment="1">
      <alignment horizontal="left"/>
    </xf>
    <xf numFmtId="0" fontId="4" fillId="5" borderId="0" xfId="0" applyFont="1" applyFill="1"/>
    <xf numFmtId="0" fontId="1" fillId="5" borderId="0" xfId="0" applyFont="1" applyFill="1" applyAlignment="1"/>
    <xf numFmtId="0" fontId="1" fillId="5" borderId="10" xfId="0" applyFont="1" applyFill="1" applyBorder="1" applyAlignment="1">
      <alignment horizontal="center" vertical="center"/>
    </xf>
    <xf numFmtId="0" fontId="2" fillId="5" borderId="0" xfId="0" applyFont="1" applyFill="1"/>
    <xf numFmtId="0" fontId="1" fillId="5" borderId="13" xfId="3" applyFont="1" applyFill="1" applyBorder="1" applyAlignment="1">
      <alignment horizontal="center"/>
    </xf>
    <xf numFmtId="10" fontId="1" fillId="5" borderId="0" xfId="0" applyNumberFormat="1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5" borderId="13" xfId="3" applyFont="1" applyFill="1" applyBorder="1" applyAlignment="1">
      <alignment horizontal="left" vertical="center"/>
    </xf>
    <xf numFmtId="0" fontId="2" fillId="5" borderId="14" xfId="3" applyFont="1" applyFill="1" applyBorder="1" applyAlignment="1">
      <alignment horizontal="center" vertical="center"/>
    </xf>
    <xf numFmtId="0" fontId="1" fillId="5" borderId="13" xfId="3" applyFont="1" applyFill="1" applyBorder="1" applyAlignment="1">
      <alignment horizontal="center" vertical="center"/>
    </xf>
    <xf numFmtId="0" fontId="1" fillId="5" borderId="13" xfId="0" applyFont="1" applyFill="1" applyBorder="1"/>
    <xf numFmtId="0" fontId="1" fillId="5" borderId="25" xfId="0" applyFont="1" applyFill="1" applyBorder="1"/>
    <xf numFmtId="0" fontId="1" fillId="5" borderId="13" xfId="3" applyFont="1" applyFill="1" applyBorder="1" applyAlignment="1">
      <alignment horizontal="left" vertical="top" wrapText="1"/>
    </xf>
    <xf numFmtId="49" fontId="1" fillId="5" borderId="13" xfId="3" applyNumberFormat="1" applyFont="1" applyFill="1" applyBorder="1" applyAlignment="1">
      <alignment horizontal="left" vertical="top" wrapText="1"/>
    </xf>
    <xf numFmtId="0" fontId="1" fillId="5" borderId="33" xfId="3" applyFont="1" applyFill="1" applyBorder="1" applyAlignment="1">
      <alignment horizontal="left" vertical="top" wrapText="1"/>
    </xf>
    <xf numFmtId="0" fontId="1" fillId="0" borderId="23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3" fontId="1" fillId="0" borderId="0" xfId="0" applyNumberFormat="1" applyFont="1"/>
    <xf numFmtId="0" fontId="1" fillId="0" borderId="15" xfId="0" applyFont="1" applyBorder="1" applyAlignment="1">
      <alignment horizontal="center"/>
    </xf>
    <xf numFmtId="0" fontId="1" fillId="0" borderId="31" xfId="0" applyFont="1" applyBorder="1" applyAlignment="1">
      <alignment horizontal="center" vertical="top"/>
    </xf>
    <xf numFmtId="9" fontId="1" fillId="0" borderId="13" xfId="0" applyNumberFormat="1" applyFont="1" applyBorder="1" applyAlignment="1">
      <alignment vertical="top"/>
    </xf>
    <xf numFmtId="9" fontId="1" fillId="0" borderId="30" xfId="0" applyNumberFormat="1" applyFont="1" applyBorder="1" applyAlignment="1">
      <alignment vertical="top"/>
    </xf>
    <xf numFmtId="9" fontId="1" fillId="0" borderId="25" xfId="0" applyNumberFormat="1" applyFont="1" applyBorder="1" applyAlignment="1">
      <alignment vertical="top"/>
    </xf>
    <xf numFmtId="9" fontId="1" fillId="0" borderId="31" xfId="0" applyNumberFormat="1" applyFont="1" applyBorder="1" applyAlignment="1">
      <alignment vertical="top"/>
    </xf>
    <xf numFmtId="0" fontId="1" fillId="0" borderId="13" xfId="0" applyFont="1" applyBorder="1" applyAlignment="1">
      <alignment horizontal="center" vertical="top"/>
    </xf>
    <xf numFmtId="0" fontId="1" fillId="0" borderId="13" xfId="2" applyFont="1" applyFill="1" applyBorder="1" applyAlignment="1">
      <alignment horizontal="center" vertical="center" wrapText="1"/>
    </xf>
    <xf numFmtId="0" fontId="13" fillId="0" borderId="0" xfId="0" applyFont="1"/>
    <xf numFmtId="3" fontId="1" fillId="0" borderId="13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justify" vertical="top"/>
    </xf>
    <xf numFmtId="3" fontId="1" fillId="5" borderId="13" xfId="0" applyNumberFormat="1" applyFont="1" applyFill="1" applyBorder="1" applyAlignment="1">
      <alignment horizontal="right" vertical="center"/>
    </xf>
    <xf numFmtId="0" fontId="1" fillId="0" borderId="13" xfId="0" applyFont="1" applyBorder="1" applyAlignment="1">
      <alignment horizontal="justify" vertical="top" wrapText="1"/>
    </xf>
    <xf numFmtId="0" fontId="1" fillId="0" borderId="13" xfId="3" applyFont="1" applyFill="1" applyBorder="1" applyAlignment="1">
      <alignment horizontal="center" vertical="center" wrapText="1"/>
    </xf>
    <xf numFmtId="9" fontId="1" fillId="0" borderId="30" xfId="0" applyNumberFormat="1" applyFont="1" applyBorder="1" applyAlignment="1">
      <alignment horizontal="center" vertical="center"/>
    </xf>
    <xf numFmtId="0" fontId="2" fillId="0" borderId="23" xfId="3" applyFont="1" applyFill="1" applyBorder="1" applyAlignment="1">
      <alignment horizontal="center" vertical="center" wrapText="1"/>
    </xf>
    <xf numFmtId="0" fontId="1" fillId="0" borderId="23" xfId="3" applyFont="1" applyFill="1" applyBorder="1" applyAlignment="1">
      <alignment horizontal="center" vertical="center"/>
    </xf>
    <xf numFmtId="0" fontId="1" fillId="0" borderId="24" xfId="3" applyFont="1" applyFill="1" applyBorder="1" applyAlignment="1">
      <alignment horizontal="center" vertical="center"/>
    </xf>
    <xf numFmtId="0" fontId="1" fillId="0" borderId="25" xfId="3" applyFont="1" applyFill="1" applyBorder="1" applyAlignment="1">
      <alignment horizontal="center" vertical="center"/>
    </xf>
    <xf numFmtId="3" fontId="1" fillId="0" borderId="33" xfId="0" applyNumberFormat="1" applyFont="1" applyBorder="1" applyAlignment="1">
      <alignment horizontal="right" vertical="center"/>
    </xf>
    <xf numFmtId="9" fontId="1" fillId="0" borderId="46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right" vertical="center"/>
    </xf>
    <xf numFmtId="9" fontId="1" fillId="0" borderId="22" xfId="0" applyNumberFormat="1" applyFont="1" applyBorder="1" applyAlignment="1">
      <alignment horizontal="center" vertical="center"/>
    </xf>
    <xf numFmtId="0" fontId="2" fillId="0" borderId="21" xfId="3" applyFont="1" applyFill="1" applyBorder="1" applyAlignment="1">
      <alignment horizontal="center" vertical="center" wrapText="1"/>
    </xf>
    <xf numFmtId="0" fontId="1" fillId="0" borderId="14" xfId="3" applyFont="1" applyFill="1" applyBorder="1" applyAlignment="1">
      <alignment horizontal="center" vertical="center" wrapText="1"/>
    </xf>
    <xf numFmtId="0" fontId="1" fillId="0" borderId="14" xfId="3" applyFont="1" applyFill="1" applyBorder="1" applyAlignment="1">
      <alignment horizontal="center" vertical="center"/>
    </xf>
    <xf numFmtId="0" fontId="13" fillId="0" borderId="27" xfId="0" applyFont="1" applyBorder="1" applyAlignment="1">
      <alignment horizontal="center" vertical="top"/>
    </xf>
    <xf numFmtId="0" fontId="13" fillId="0" borderId="28" xfId="0" applyFont="1" applyBorder="1" applyAlignment="1">
      <alignment horizontal="left" vertical="top"/>
    </xf>
    <xf numFmtId="3" fontId="13" fillId="0" borderId="28" xfId="0" applyNumberFormat="1" applyFont="1" applyBorder="1" applyAlignment="1">
      <alignment vertical="top"/>
    </xf>
    <xf numFmtId="9" fontId="13" fillId="0" borderId="28" xfId="0" applyNumberFormat="1" applyFont="1" applyBorder="1" applyAlignment="1">
      <alignment vertical="top"/>
    </xf>
    <xf numFmtId="9" fontId="13" fillId="0" borderId="29" xfId="0" applyNumberFormat="1" applyFont="1" applyBorder="1" applyAlignment="1">
      <alignment vertical="top"/>
    </xf>
    <xf numFmtId="0" fontId="2" fillId="5" borderId="13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1" fillId="5" borderId="23" xfId="3" applyFont="1" applyFill="1" applyBorder="1" applyAlignment="1">
      <alignment horizontal="center" vertical="center"/>
    </xf>
    <xf numFmtId="0" fontId="1" fillId="5" borderId="23" xfId="0" applyFont="1" applyFill="1" applyBorder="1"/>
    <xf numFmtId="0" fontId="1" fillId="5" borderId="24" xfId="0" applyFont="1" applyFill="1" applyBorder="1"/>
    <xf numFmtId="0" fontId="1" fillId="5" borderId="25" xfId="0" applyFont="1" applyFill="1" applyBorder="1" applyAlignment="1">
      <alignment horizontal="center" vertical="center"/>
    </xf>
    <xf numFmtId="3" fontId="1" fillId="5" borderId="25" xfId="0" applyNumberFormat="1" applyFont="1" applyFill="1" applyBorder="1" applyAlignment="1">
      <alignment horizontal="right" vertical="center"/>
    </xf>
    <xf numFmtId="0" fontId="13" fillId="5" borderId="1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3" fontId="1" fillId="5" borderId="14" xfId="0" applyNumberFormat="1" applyFont="1" applyFill="1" applyBorder="1" applyAlignment="1">
      <alignment horizontal="right" vertical="center"/>
    </xf>
    <xf numFmtId="3" fontId="13" fillId="5" borderId="10" xfId="0" applyNumberFormat="1" applyFont="1" applyFill="1" applyBorder="1" applyAlignment="1">
      <alignment horizontal="right" vertical="center"/>
    </xf>
    <xf numFmtId="0" fontId="1" fillId="5" borderId="36" xfId="0" applyFont="1" applyFill="1" applyBorder="1" applyAlignment="1">
      <alignment horizontal="center" vertical="center"/>
    </xf>
    <xf numFmtId="3" fontId="1" fillId="5" borderId="33" xfId="0" applyNumberFormat="1" applyFont="1" applyFill="1" applyBorder="1" applyAlignment="1">
      <alignment horizontal="right" vertical="center"/>
    </xf>
    <xf numFmtId="3" fontId="13" fillId="5" borderId="47" xfId="0" applyNumberFormat="1" applyFont="1" applyFill="1" applyBorder="1" applyAlignment="1">
      <alignment horizontal="right" vertical="center"/>
    </xf>
    <xf numFmtId="0" fontId="2" fillId="5" borderId="33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1" fillId="5" borderId="14" xfId="3" applyFont="1" applyFill="1" applyBorder="1" applyAlignment="1">
      <alignment horizontal="left" vertical="top" wrapText="1"/>
    </xf>
    <xf numFmtId="0" fontId="1" fillId="5" borderId="2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top" indent="2"/>
    </xf>
    <xf numFmtId="3" fontId="1" fillId="0" borderId="13" xfId="0" applyNumberFormat="1" applyFont="1" applyBorder="1" applyAlignment="1">
      <alignment horizontal="center" vertical="top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justify" vertical="top" wrapText="1"/>
    </xf>
    <xf numFmtId="0" fontId="1" fillId="0" borderId="28" xfId="0" applyFont="1" applyBorder="1" applyAlignment="1">
      <alignment horizontal="left" vertical="top" indent="2"/>
    </xf>
    <xf numFmtId="3" fontId="1" fillId="0" borderId="29" xfId="0" applyNumberFormat="1" applyFont="1" applyBorder="1" applyAlignment="1">
      <alignment vertical="top"/>
    </xf>
    <xf numFmtId="0" fontId="1" fillId="0" borderId="23" xfId="0" applyFont="1" applyBorder="1" applyAlignment="1">
      <alignment horizontal="right" vertical="top"/>
    </xf>
    <xf numFmtId="3" fontId="1" fillId="0" borderId="30" xfId="0" applyNumberFormat="1" applyFont="1" applyBorder="1" applyAlignment="1">
      <alignment vertical="top"/>
    </xf>
    <xf numFmtId="0" fontId="1" fillId="0" borderId="24" xfId="0" applyFont="1" applyBorder="1" applyAlignment="1">
      <alignment horizontal="left" vertical="top" wrapText="1"/>
    </xf>
    <xf numFmtId="3" fontId="1" fillId="0" borderId="31" xfId="0" applyNumberFormat="1" applyFont="1" applyBorder="1" applyAlignment="1">
      <alignment vertical="top"/>
    </xf>
    <xf numFmtId="0" fontId="6" fillId="5" borderId="0" xfId="0" applyFont="1" applyFill="1" applyAlignment="1">
      <alignment horizontal="right"/>
    </xf>
    <xf numFmtId="0" fontId="17" fillId="5" borderId="0" xfId="0" applyFont="1" applyFill="1" applyAlignment="1"/>
    <xf numFmtId="0" fontId="6" fillId="5" borderId="0" xfId="0" applyFont="1" applyFill="1" applyAlignment="1"/>
    <xf numFmtId="0" fontId="17" fillId="0" borderId="0" xfId="0" applyFont="1" applyAlignment="1"/>
    <xf numFmtId="0" fontId="6" fillId="0" borderId="0" xfId="0" applyFont="1" applyAlignment="1"/>
    <xf numFmtId="3" fontId="10" fillId="0" borderId="10" xfId="0" applyNumberFormat="1" applyFont="1" applyFill="1" applyBorder="1" applyAlignment="1">
      <alignment horizontal="right" vertical="center"/>
    </xf>
    <xf numFmtId="0" fontId="1" fillId="5" borderId="12" xfId="0" applyFont="1" applyFill="1" applyBorder="1" applyAlignment="1">
      <alignment horizontal="center" vertical="center"/>
    </xf>
    <xf numFmtId="0" fontId="2" fillId="5" borderId="18" xfId="3" applyFont="1" applyFill="1" applyBorder="1" applyAlignment="1">
      <alignment horizontal="center" vertical="center"/>
    </xf>
    <xf numFmtId="0" fontId="2" fillId="5" borderId="50" xfId="3" applyFont="1" applyFill="1" applyBorder="1" applyAlignment="1">
      <alignment horizontal="center" vertical="center"/>
    </xf>
    <xf numFmtId="0" fontId="2" fillId="5" borderId="51" xfId="3" applyFont="1" applyFill="1" applyBorder="1" applyAlignment="1">
      <alignment horizontal="center" vertical="center"/>
    </xf>
    <xf numFmtId="0" fontId="2" fillId="5" borderId="52" xfId="3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center"/>
    </xf>
    <xf numFmtId="3" fontId="10" fillId="6" borderId="10" xfId="0" applyNumberFormat="1" applyFont="1" applyFill="1" applyBorder="1" applyAlignment="1">
      <alignment horizontal="right" vertical="center"/>
    </xf>
    <xf numFmtId="0" fontId="10" fillId="0" borderId="33" xfId="0" applyFont="1" applyFill="1" applyBorder="1" applyAlignment="1">
      <alignment horizontal="center"/>
    </xf>
    <xf numFmtId="0" fontId="10" fillId="0" borderId="33" xfId="0" applyFont="1" applyFill="1" applyBorder="1"/>
    <xf numFmtId="0" fontId="10" fillId="7" borderId="10" xfId="0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right" vertical="center"/>
    </xf>
    <xf numFmtId="165" fontId="12" fillId="4" borderId="10" xfId="1" applyNumberFormat="1" applyFont="1" applyFill="1" applyBorder="1" applyAlignment="1">
      <alignment horizontal="right" vertical="center"/>
    </xf>
    <xf numFmtId="0" fontId="10" fillId="0" borderId="13" xfId="0" applyFont="1" applyBorder="1" applyAlignment="1">
      <alignment horizontal="left" vertical="center" wrapText="1"/>
    </xf>
    <xf numFmtId="3" fontId="12" fillId="0" borderId="1" xfId="0" applyNumberFormat="1" applyFont="1" applyFill="1" applyBorder="1"/>
    <xf numFmtId="0" fontId="12" fillId="0" borderId="33" xfId="0" applyFont="1" applyFill="1" applyBorder="1"/>
    <xf numFmtId="165" fontId="10" fillId="0" borderId="1" xfId="0" applyNumberFormat="1" applyFont="1" applyFill="1" applyBorder="1"/>
    <xf numFmtId="0" fontId="10" fillId="0" borderId="1" xfId="0" applyFont="1" applyFill="1" applyBorder="1" applyAlignment="1">
      <alignment horizontal="left" vertical="center"/>
    </xf>
    <xf numFmtId="10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10" fontId="10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2" fillId="3" borderId="12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11" xfId="0" applyFont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0" fillId="0" borderId="10" xfId="0" applyFont="1" applyBorder="1" applyAlignment="1"/>
    <xf numFmtId="0" fontId="10" fillId="3" borderId="10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/>
    </xf>
    <xf numFmtId="3" fontId="10" fillId="3" borderId="10" xfId="0" applyNumberFormat="1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right"/>
    </xf>
    <xf numFmtId="3" fontId="10" fillId="0" borderId="10" xfId="1" applyNumberFormat="1" applyFont="1" applyBorder="1" applyAlignment="1">
      <alignment horizontal="right" indent="1"/>
    </xf>
    <xf numFmtId="3" fontId="10" fillId="0" borderId="10" xfId="1" applyNumberFormat="1" applyFont="1" applyBorder="1" applyAlignment="1">
      <alignment horizontal="right"/>
    </xf>
    <xf numFmtId="0" fontId="10" fillId="5" borderId="10" xfId="0" applyFont="1" applyFill="1" applyBorder="1" applyAlignment="1">
      <alignment horizontal="center" vertical="center" wrapText="1"/>
    </xf>
    <xf numFmtId="3" fontId="10" fillId="3" borderId="10" xfId="1" applyNumberFormat="1" applyFont="1" applyFill="1" applyBorder="1" applyAlignment="1">
      <alignment vertical="top"/>
    </xf>
    <xf numFmtId="0" fontId="12" fillId="3" borderId="12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12" fillId="10" borderId="13" xfId="3" applyFont="1" applyFill="1" applyBorder="1" applyAlignment="1">
      <alignment horizontal="left" vertical="center" wrapText="1"/>
    </xf>
    <xf numFmtId="0" fontId="12" fillId="10" borderId="1" xfId="3" applyFont="1" applyFill="1" applyBorder="1" applyAlignment="1">
      <alignment horizontal="center" vertical="center" wrapText="1"/>
    </xf>
    <xf numFmtId="0" fontId="10" fillId="10" borderId="10" xfId="0" applyFont="1" applyFill="1" applyBorder="1" applyAlignment="1">
      <alignment horizontal="center" vertical="center"/>
    </xf>
    <xf numFmtId="3" fontId="12" fillId="10" borderId="10" xfId="0" applyNumberFormat="1" applyFont="1" applyFill="1" applyBorder="1" applyAlignment="1">
      <alignment horizontal="right" vertical="center"/>
    </xf>
    <xf numFmtId="49" fontId="12" fillId="10" borderId="13" xfId="3" applyNumberFormat="1" applyFont="1" applyFill="1" applyBorder="1" applyAlignment="1">
      <alignment horizontal="left" vertical="center" wrapText="1"/>
    </xf>
    <xf numFmtId="49" fontId="12" fillId="10" borderId="1" xfId="3" applyNumberFormat="1" applyFont="1" applyFill="1" applyBorder="1" applyAlignment="1">
      <alignment horizontal="center" vertical="center" wrapText="1"/>
    </xf>
    <xf numFmtId="3" fontId="10" fillId="10" borderId="10" xfId="0" applyNumberFormat="1" applyFont="1" applyFill="1" applyBorder="1" applyAlignment="1">
      <alignment horizontal="right" vertical="center"/>
    </xf>
    <xf numFmtId="0" fontId="12" fillId="0" borderId="13" xfId="3" applyFont="1" applyFill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49" fontId="12" fillId="10" borderId="17" xfId="3" applyNumberFormat="1" applyFont="1" applyFill="1" applyBorder="1" applyAlignment="1">
      <alignment horizontal="left" vertical="center" wrapText="1"/>
    </xf>
    <xf numFmtId="49" fontId="12" fillId="10" borderId="17" xfId="3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left" vertical="center" wrapText="1"/>
    </xf>
    <xf numFmtId="0" fontId="12" fillId="10" borderId="33" xfId="3" applyFont="1" applyFill="1" applyBorder="1" applyAlignment="1">
      <alignment horizontal="left" vertical="center" wrapText="1"/>
    </xf>
    <xf numFmtId="0" fontId="12" fillId="10" borderId="33" xfId="3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right" vertical="center"/>
    </xf>
    <xf numFmtId="0" fontId="12" fillId="0" borderId="17" xfId="2" applyFont="1" applyFill="1" applyBorder="1" applyAlignment="1">
      <alignment horizontal="center" vertical="center" wrapText="1"/>
    </xf>
    <xf numFmtId="0" fontId="12" fillId="0" borderId="45" xfId="3" applyFont="1" applyFill="1" applyBorder="1" applyAlignment="1">
      <alignment horizontal="center" vertical="center"/>
    </xf>
    <xf numFmtId="0" fontId="12" fillId="0" borderId="39" xfId="3" applyFont="1" applyFill="1" applyBorder="1" applyAlignment="1">
      <alignment horizontal="center" vertical="center"/>
    </xf>
    <xf numFmtId="0" fontId="12" fillId="0" borderId="20" xfId="3" applyFont="1" applyFill="1" applyBorder="1" applyAlignment="1">
      <alignment horizontal="center" vertical="center"/>
    </xf>
    <xf numFmtId="0" fontId="12" fillId="0" borderId="37" xfId="3" applyFont="1" applyFill="1" applyBorder="1" applyAlignment="1">
      <alignment horizontal="center" vertical="center"/>
    </xf>
    <xf numFmtId="0" fontId="10" fillId="0" borderId="27" xfId="3" applyFont="1" applyFill="1" applyBorder="1" applyAlignment="1">
      <alignment horizontal="left" vertical="center" wrapText="1"/>
    </xf>
    <xf numFmtId="0" fontId="12" fillId="0" borderId="29" xfId="3" applyFont="1" applyFill="1" applyBorder="1" applyAlignment="1">
      <alignment horizontal="left" vertical="center" wrapText="1"/>
    </xf>
    <xf numFmtId="0" fontId="10" fillId="0" borderId="23" xfId="3" applyFont="1" applyFill="1" applyBorder="1" applyAlignment="1">
      <alignment horizontal="left" vertical="center" wrapText="1"/>
    </xf>
    <xf numFmtId="0" fontId="10" fillId="0" borderId="30" xfId="3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12" fillId="0" borderId="35" xfId="2" applyFont="1" applyFill="1" applyBorder="1" applyAlignment="1">
      <alignment horizontal="center" vertical="center" wrapText="1"/>
    </xf>
    <xf numFmtId="0" fontId="10" fillId="0" borderId="28" xfId="3" applyFont="1" applyFill="1" applyBorder="1" applyAlignment="1">
      <alignment horizontal="center"/>
    </xf>
    <xf numFmtId="0" fontId="10" fillId="0" borderId="28" xfId="0" applyFont="1" applyFill="1" applyBorder="1"/>
    <xf numFmtId="0" fontId="12" fillId="0" borderId="25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/>
    </xf>
    <xf numFmtId="0" fontId="10" fillId="0" borderId="25" xfId="0" applyFont="1" applyFill="1" applyBorder="1"/>
    <xf numFmtId="3" fontId="0" fillId="0" borderId="2" xfId="0" applyNumberFormat="1" applyBorder="1"/>
    <xf numFmtId="0" fontId="10" fillId="0" borderId="41" xfId="0" applyFont="1" applyFill="1" applyBorder="1" applyAlignment="1">
      <alignment horizontal="left" vertical="center" wrapText="1"/>
    </xf>
    <xf numFmtId="0" fontId="10" fillId="0" borderId="35" xfId="3" applyFont="1" applyFill="1" applyBorder="1" applyAlignment="1">
      <alignment horizontal="left" vertical="center" wrapText="1"/>
    </xf>
    <xf numFmtId="0" fontId="10" fillId="0" borderId="17" xfId="3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2" fillId="0" borderId="8" xfId="3" applyFont="1" applyFill="1" applyBorder="1" applyAlignment="1">
      <alignment horizontal="center" vertical="center"/>
    </xf>
    <xf numFmtId="0" fontId="12" fillId="0" borderId="56" xfId="3" applyFont="1" applyFill="1" applyBorder="1" applyAlignment="1">
      <alignment horizontal="center" vertical="center"/>
    </xf>
    <xf numFmtId="0" fontId="12" fillId="0" borderId="57" xfId="3" applyFont="1" applyFill="1" applyBorder="1" applyAlignment="1">
      <alignment horizontal="center" vertical="center"/>
    </xf>
    <xf numFmtId="0" fontId="12" fillId="0" borderId="9" xfId="3" applyFont="1" applyFill="1" applyBorder="1" applyAlignment="1">
      <alignment horizontal="center" vertical="center"/>
    </xf>
    <xf numFmtId="3" fontId="12" fillId="3" borderId="11" xfId="0" applyNumberFormat="1" applyFont="1" applyFill="1" applyBorder="1" applyAlignment="1">
      <alignment horizontal="right" vertical="center"/>
    </xf>
    <xf numFmtId="3" fontId="10" fillId="3" borderId="11" xfId="0" applyNumberFormat="1" applyFont="1" applyFill="1" applyBorder="1" applyAlignment="1">
      <alignment horizontal="right" vertical="center"/>
    </xf>
    <xf numFmtId="3" fontId="10" fillId="0" borderId="11" xfId="1" applyNumberFormat="1" applyFont="1" applyBorder="1" applyAlignment="1">
      <alignment horizontal="right" vertical="top"/>
    </xf>
    <xf numFmtId="3" fontId="10" fillId="0" borderId="11" xfId="1" applyNumberFormat="1" applyFont="1" applyBorder="1" applyAlignment="1">
      <alignment horizontal="right"/>
    </xf>
    <xf numFmtId="3" fontId="10" fillId="0" borderId="11" xfId="0" applyNumberFormat="1" applyFont="1" applyBorder="1" applyAlignment="1">
      <alignment vertical="center"/>
    </xf>
    <xf numFmtId="3" fontId="10" fillId="0" borderId="11" xfId="1" applyNumberFormat="1" applyFont="1" applyBorder="1" applyAlignment="1">
      <alignment vertical="top"/>
    </xf>
    <xf numFmtId="3" fontId="10" fillId="5" borderId="11" xfId="1" applyNumberFormat="1" applyFont="1" applyFill="1" applyBorder="1" applyAlignment="1">
      <alignment vertical="top"/>
    </xf>
    <xf numFmtId="3" fontId="10" fillId="3" borderId="11" xfId="1" applyNumberFormat="1" applyFont="1" applyFill="1" applyBorder="1" applyAlignment="1">
      <alignment vertical="top"/>
    </xf>
    <xf numFmtId="3" fontId="12" fillId="4" borderId="11" xfId="0" applyNumberFormat="1" applyFont="1" applyFill="1" applyBorder="1" applyAlignment="1">
      <alignment horizontal="right" vertical="center"/>
    </xf>
    <xf numFmtId="3" fontId="10" fillId="4" borderId="11" xfId="0" applyNumberFormat="1" applyFont="1" applyFill="1" applyBorder="1" applyAlignment="1">
      <alignment horizontal="right" vertical="center"/>
    </xf>
    <xf numFmtId="3" fontId="10" fillId="5" borderId="11" xfId="0" applyNumberFormat="1" applyFont="1" applyFill="1" applyBorder="1" applyAlignment="1">
      <alignment horizontal="right" vertical="center"/>
    </xf>
    <xf numFmtId="3" fontId="12" fillId="10" borderId="11" xfId="0" applyNumberFormat="1" applyFont="1" applyFill="1" applyBorder="1" applyAlignment="1">
      <alignment horizontal="right" vertical="center"/>
    </xf>
    <xf numFmtId="3" fontId="10" fillId="6" borderId="11" xfId="0" applyNumberFormat="1" applyFont="1" applyFill="1" applyBorder="1" applyAlignment="1">
      <alignment horizontal="right" vertical="center"/>
    </xf>
    <xf numFmtId="3" fontId="10" fillId="10" borderId="11" xfId="0" applyNumberFormat="1" applyFont="1" applyFill="1" applyBorder="1" applyAlignment="1">
      <alignment horizontal="right" vertical="center"/>
    </xf>
    <xf numFmtId="3" fontId="10" fillId="8" borderId="11" xfId="0" applyNumberFormat="1" applyFont="1" applyFill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3" fontId="10" fillId="0" borderId="20" xfId="0" applyNumberFormat="1" applyFont="1" applyBorder="1"/>
    <xf numFmtId="3" fontId="10" fillId="0" borderId="6" xfId="0" applyNumberFormat="1" applyFont="1" applyBorder="1" applyAlignment="1">
      <alignment horizontal="right" vertical="center"/>
    </xf>
    <xf numFmtId="3" fontId="12" fillId="0" borderId="11" xfId="0" applyNumberFormat="1" applyFont="1" applyBorder="1" applyAlignment="1">
      <alignment horizontal="right" vertical="center"/>
    </xf>
    <xf numFmtId="3" fontId="12" fillId="0" borderId="11" xfId="0" applyNumberFormat="1" applyFont="1" applyFill="1" applyBorder="1" applyAlignment="1">
      <alignment horizontal="right" vertical="center"/>
    </xf>
    <xf numFmtId="0" fontId="10" fillId="0" borderId="34" xfId="0" applyFont="1" applyFill="1" applyBorder="1"/>
    <xf numFmtId="0" fontId="10" fillId="0" borderId="20" xfId="0" applyFont="1" applyFill="1" applyBorder="1"/>
    <xf numFmtId="0" fontId="10" fillId="0" borderId="37" xfId="0" applyFont="1" applyFill="1" applyBorder="1"/>
    <xf numFmtId="0" fontId="10" fillId="0" borderId="54" xfId="0" applyFont="1" applyFill="1" applyBorder="1"/>
    <xf numFmtId="0" fontId="0" fillId="0" borderId="58" xfId="0" applyBorder="1"/>
    <xf numFmtId="0" fontId="0" fillId="0" borderId="59" xfId="0" applyBorder="1"/>
    <xf numFmtId="0" fontId="10" fillId="0" borderId="8" xfId="0" applyFont="1" applyFill="1" applyBorder="1" applyAlignment="1">
      <alignment horizontal="center" vertical="center" wrapText="1"/>
    </xf>
    <xf numFmtId="3" fontId="10" fillId="0" borderId="59" xfId="0" applyNumberFormat="1" applyFont="1" applyBorder="1"/>
    <xf numFmtId="0" fontId="10" fillId="0" borderId="58" xfId="0" applyFont="1" applyFill="1" applyBorder="1"/>
    <xf numFmtId="0" fontId="10" fillId="0" borderId="59" xfId="0" applyFont="1" applyFill="1" applyBorder="1"/>
    <xf numFmtId="0" fontId="10" fillId="0" borderId="57" xfId="0" applyFont="1" applyFill="1" applyBorder="1"/>
    <xf numFmtId="0" fontId="10" fillId="0" borderId="60" xfId="0" applyFont="1" applyFill="1" applyBorder="1"/>
    <xf numFmtId="0" fontId="12" fillId="10" borderId="37" xfId="3" applyFont="1" applyFill="1" applyBorder="1" applyAlignment="1">
      <alignment horizontal="center" vertical="center" wrapText="1"/>
    </xf>
    <xf numFmtId="0" fontId="10" fillId="0" borderId="9" xfId="3" applyFont="1" applyFill="1" applyBorder="1" applyAlignment="1">
      <alignment horizontal="center"/>
    </xf>
    <xf numFmtId="0" fontId="10" fillId="0" borderId="10" xfId="3" applyFont="1" applyFill="1" applyBorder="1" applyAlignment="1">
      <alignment horizontal="center"/>
    </xf>
    <xf numFmtId="0" fontId="10" fillId="0" borderId="58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3" fontId="10" fillId="2" borderId="10" xfId="0" applyNumberFormat="1" applyFont="1" applyFill="1" applyBorder="1" applyAlignment="1">
      <alignment horizontal="right" vertical="center"/>
    </xf>
    <xf numFmtId="0" fontId="12" fillId="0" borderId="61" xfId="3" applyFont="1" applyFill="1" applyBorder="1" applyAlignment="1">
      <alignment horizontal="center" vertical="center"/>
    </xf>
    <xf numFmtId="0" fontId="12" fillId="0" borderId="21" xfId="3" applyFont="1" applyFill="1" applyBorder="1" applyAlignment="1">
      <alignment horizontal="center" vertical="center"/>
    </xf>
    <xf numFmtId="0" fontId="12" fillId="0" borderId="23" xfId="3" applyFont="1" applyFill="1" applyBorder="1" applyAlignment="1">
      <alignment horizontal="center" vertical="center"/>
    </xf>
    <xf numFmtId="0" fontId="12" fillId="0" borderId="24" xfId="3" applyFont="1" applyFill="1" applyBorder="1" applyAlignment="1">
      <alignment horizontal="center" vertical="center"/>
    </xf>
    <xf numFmtId="3" fontId="12" fillId="3" borderId="9" xfId="0" applyNumberFormat="1" applyFont="1" applyFill="1" applyBorder="1" applyAlignment="1">
      <alignment horizontal="right" vertical="center"/>
    </xf>
    <xf numFmtId="0" fontId="10" fillId="0" borderId="24" xfId="0" applyFont="1" applyFill="1" applyBorder="1" applyAlignment="1">
      <alignment horizontal="center"/>
    </xf>
    <xf numFmtId="0" fontId="10" fillId="0" borderId="31" xfId="0" applyFont="1" applyFill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3" fontId="10" fillId="11" borderId="10" xfId="1" applyNumberFormat="1" applyFont="1" applyFill="1" applyBorder="1" applyAlignment="1">
      <alignment vertical="top"/>
    </xf>
    <xf numFmtId="3" fontId="10" fillId="11" borderId="11" xfId="1" applyNumberFormat="1" applyFont="1" applyFill="1" applyBorder="1" applyAlignment="1">
      <alignment vertical="top"/>
    </xf>
    <xf numFmtId="3" fontId="10" fillId="0" borderId="10" xfId="1" applyNumberFormat="1" applyFont="1" applyBorder="1" applyAlignment="1"/>
    <xf numFmtId="3" fontId="10" fillId="0" borderId="11" xfId="1" applyNumberFormat="1" applyFont="1" applyBorder="1" applyAlignment="1"/>
    <xf numFmtId="3" fontId="10" fillId="11" borderId="10" xfId="0" applyNumberFormat="1" applyFont="1" applyFill="1" applyBorder="1" applyAlignment="1">
      <alignment horizontal="right" vertical="center"/>
    </xf>
    <xf numFmtId="3" fontId="10" fillId="0" borderId="10" xfId="0" applyNumberFormat="1" applyFont="1" applyBorder="1" applyAlignment="1"/>
    <xf numFmtId="3" fontId="10" fillId="0" borderId="47" xfId="0" applyNumberFormat="1" applyFont="1" applyBorder="1"/>
    <xf numFmtId="3" fontId="10" fillId="0" borderId="53" xfId="0" applyNumberFormat="1" applyFont="1" applyBorder="1"/>
    <xf numFmtId="0" fontId="10" fillId="0" borderId="1" xfId="3" applyFont="1" applyFill="1" applyBorder="1" applyAlignment="1">
      <alignment horizontal="center"/>
    </xf>
    <xf numFmtId="10" fontId="10" fillId="4" borderId="10" xfId="0" applyNumberFormat="1" applyFont="1" applyFill="1" applyBorder="1" applyAlignment="1">
      <alignment horizontal="center" vertical="center"/>
    </xf>
    <xf numFmtId="10" fontId="10" fillId="0" borderId="10" xfId="0" applyNumberFormat="1" applyFont="1" applyBorder="1" applyAlignment="1">
      <alignment horizontal="center" vertical="center"/>
    </xf>
    <xf numFmtId="3" fontId="10" fillId="0" borderId="10" xfId="1" applyNumberFormat="1" applyFont="1" applyBorder="1" applyAlignment="1">
      <alignment vertical="center"/>
    </xf>
    <xf numFmtId="3" fontId="10" fillId="9" borderId="10" xfId="0" applyNumberFormat="1" applyFont="1" applyFill="1" applyBorder="1" applyAlignment="1"/>
    <xf numFmtId="0" fontId="10" fillId="0" borderId="11" xfId="0" applyFont="1" applyBorder="1" applyAlignment="1">
      <alignment horizontal="center" vertical="center"/>
    </xf>
    <xf numFmtId="3" fontId="10" fillId="9" borderId="10" xfId="0" applyNumberFormat="1" applyFont="1" applyFill="1" applyBorder="1" applyAlignment="1">
      <alignment horizontal="right" vertical="center"/>
    </xf>
    <xf numFmtId="3" fontId="12" fillId="3" borderId="10" xfId="0" applyNumberFormat="1" applyFont="1" applyFill="1" applyBorder="1" applyAlignment="1"/>
    <xf numFmtId="3" fontId="12" fillId="3" borderId="11" xfId="0" applyNumberFormat="1" applyFont="1" applyFill="1" applyBorder="1" applyAlignment="1"/>
    <xf numFmtId="3" fontId="10" fillId="3" borderId="10" xfId="0" applyNumberFormat="1" applyFont="1" applyFill="1" applyBorder="1" applyAlignment="1"/>
    <xf numFmtId="3" fontId="10" fillId="3" borderId="11" xfId="0" applyNumberFormat="1" applyFont="1" applyFill="1" applyBorder="1" applyAlignment="1"/>
    <xf numFmtId="3" fontId="10" fillId="0" borderId="11" xfId="0" applyNumberFormat="1" applyFont="1" applyBorder="1" applyAlignment="1"/>
    <xf numFmtId="3" fontId="10" fillId="5" borderId="10" xfId="1" applyNumberFormat="1" applyFont="1" applyFill="1" applyBorder="1" applyAlignment="1"/>
    <xf numFmtId="3" fontId="10" fillId="5" borderId="11" xfId="1" applyNumberFormat="1" applyFont="1" applyFill="1" applyBorder="1" applyAlignment="1"/>
    <xf numFmtId="3" fontId="10" fillId="3" borderId="10" xfId="1" applyNumberFormat="1" applyFont="1" applyFill="1" applyBorder="1" applyAlignment="1"/>
    <xf numFmtId="3" fontId="10" fillId="3" borderId="11" xfId="1" applyNumberFormat="1" applyFont="1" applyFill="1" applyBorder="1" applyAlignment="1"/>
    <xf numFmtId="3" fontId="12" fillId="4" borderId="10" xfId="0" applyNumberFormat="1" applyFont="1" applyFill="1" applyBorder="1" applyAlignment="1"/>
    <xf numFmtId="3" fontId="12" fillId="4" borderId="11" xfId="0" applyNumberFormat="1" applyFont="1" applyFill="1" applyBorder="1" applyAlignment="1"/>
    <xf numFmtId="3" fontId="10" fillId="4" borderId="10" xfId="0" applyNumberFormat="1" applyFont="1" applyFill="1" applyBorder="1" applyAlignment="1"/>
    <xf numFmtId="3" fontId="10" fillId="4" borderId="11" xfId="0" applyNumberFormat="1" applyFont="1" applyFill="1" applyBorder="1" applyAlignment="1"/>
    <xf numFmtId="3" fontId="10" fillId="11" borderId="10" xfId="0" applyNumberFormat="1" applyFont="1" applyFill="1" applyBorder="1" applyAlignment="1"/>
    <xf numFmtId="3" fontId="10" fillId="11" borderId="11" xfId="0" applyNumberFormat="1" applyFont="1" applyFill="1" applyBorder="1" applyAlignment="1"/>
    <xf numFmtId="3" fontId="10" fillId="5" borderId="10" xfId="0" applyNumberFormat="1" applyFont="1" applyFill="1" applyBorder="1" applyAlignment="1"/>
    <xf numFmtId="3" fontId="10" fillId="5" borderId="11" xfId="0" applyNumberFormat="1" applyFont="1" applyFill="1" applyBorder="1" applyAlignment="1"/>
    <xf numFmtId="3" fontId="10" fillId="0" borderId="10" xfId="0" applyNumberFormat="1" applyFont="1" applyFill="1" applyBorder="1" applyAlignment="1"/>
    <xf numFmtId="3" fontId="12" fillId="10" borderId="10" xfId="0" applyNumberFormat="1" applyFont="1" applyFill="1" applyBorder="1" applyAlignment="1"/>
    <xf numFmtId="3" fontId="12" fillId="10" borderId="11" xfId="0" applyNumberFormat="1" applyFont="1" applyFill="1" applyBorder="1" applyAlignment="1"/>
    <xf numFmtId="3" fontId="10" fillId="6" borderId="10" xfId="0" applyNumberFormat="1" applyFont="1" applyFill="1" applyBorder="1" applyAlignment="1"/>
    <xf numFmtId="3" fontId="10" fillId="6" borderId="11" xfId="0" applyNumberFormat="1" applyFont="1" applyFill="1" applyBorder="1" applyAlignment="1"/>
    <xf numFmtId="3" fontId="10" fillId="10" borderId="10" xfId="0" applyNumberFormat="1" applyFont="1" applyFill="1" applyBorder="1" applyAlignment="1"/>
    <xf numFmtId="3" fontId="10" fillId="10" borderId="11" xfId="0" applyNumberFormat="1" applyFont="1" applyFill="1" applyBorder="1" applyAlignment="1"/>
    <xf numFmtId="3" fontId="10" fillId="8" borderId="10" xfId="0" applyNumberFormat="1" applyFont="1" applyFill="1" applyBorder="1" applyAlignment="1"/>
    <xf numFmtId="3" fontId="10" fillId="8" borderId="11" xfId="0" applyNumberFormat="1" applyFont="1" applyFill="1" applyBorder="1" applyAlignment="1"/>
    <xf numFmtId="3" fontId="10" fillId="0" borderId="8" xfId="0" applyNumberFormat="1" applyFont="1" applyBorder="1" applyAlignment="1"/>
    <xf numFmtId="3" fontId="10" fillId="0" borderId="4" xfId="0" applyNumberFormat="1" applyFont="1" applyBorder="1" applyAlignment="1"/>
    <xf numFmtId="3" fontId="10" fillId="0" borderId="13" xfId="0" applyNumberFormat="1" applyFont="1" applyBorder="1" applyAlignment="1"/>
    <xf numFmtId="3" fontId="10" fillId="0" borderId="20" xfId="0" applyNumberFormat="1" applyFont="1" applyBorder="1" applyAlignment="1"/>
    <xf numFmtId="3" fontId="10" fillId="0" borderId="9" xfId="0" applyNumberFormat="1" applyFont="1" applyBorder="1" applyAlignment="1"/>
    <xf numFmtId="3" fontId="10" fillId="0" borderId="6" xfId="0" applyNumberFormat="1" applyFont="1" applyBorder="1" applyAlignment="1"/>
    <xf numFmtId="3" fontId="12" fillId="0" borderId="10" xfId="0" applyNumberFormat="1" applyFont="1" applyBorder="1" applyAlignment="1"/>
    <xf numFmtId="3" fontId="12" fillId="0" borderId="11" xfId="0" applyNumberFormat="1" applyFont="1" applyBorder="1" applyAlignment="1"/>
    <xf numFmtId="3" fontId="12" fillId="0" borderId="10" xfId="0" applyNumberFormat="1" applyFont="1" applyFill="1" applyBorder="1" applyAlignment="1"/>
    <xf numFmtId="3" fontId="12" fillId="0" borderId="11" xfId="0" applyNumberFormat="1" applyFont="1" applyFill="1" applyBorder="1" applyAlignment="1"/>
    <xf numFmtId="0" fontId="10" fillId="0" borderId="28" xfId="0" applyFont="1" applyFill="1" applyBorder="1" applyAlignment="1"/>
    <xf numFmtId="0" fontId="10" fillId="0" borderId="34" xfId="0" applyFont="1" applyFill="1" applyBorder="1" applyAlignment="1"/>
    <xf numFmtId="0" fontId="10" fillId="0" borderId="13" xfId="0" applyFont="1" applyFill="1" applyBorder="1" applyAlignment="1"/>
    <xf numFmtId="0" fontId="10" fillId="0" borderId="20" xfId="0" applyFont="1" applyFill="1" applyBorder="1" applyAlignment="1"/>
    <xf numFmtId="0" fontId="10" fillId="0" borderId="33" xfId="0" applyFont="1" applyFill="1" applyBorder="1" applyAlignment="1"/>
    <xf numFmtId="0" fontId="10" fillId="0" borderId="37" xfId="0" applyFont="1" applyFill="1" applyBorder="1" applyAlignment="1"/>
    <xf numFmtId="0" fontId="10" fillId="0" borderId="25" xfId="0" applyFont="1" applyFill="1" applyBorder="1" applyAlignment="1"/>
    <xf numFmtId="0" fontId="10" fillId="0" borderId="54" xfId="0" applyFont="1" applyFill="1" applyBorder="1" applyAlignment="1"/>
    <xf numFmtId="0" fontId="12" fillId="3" borderId="12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8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2" fillId="0" borderId="33" xfId="0" applyFont="1" applyFill="1" applyBorder="1" applyAlignment="1">
      <alignment horizontal="center" vertical="center" wrapText="1"/>
    </xf>
    <xf numFmtId="165" fontId="12" fillId="4" borderId="10" xfId="1" applyNumberFormat="1" applyFont="1" applyFill="1" applyBorder="1" applyAlignment="1"/>
    <xf numFmtId="3" fontId="10" fillId="0" borderId="10" xfId="1" applyNumberFormat="1" applyFont="1" applyBorder="1" applyAlignment="1">
      <alignment horizontal="right" vertical="center"/>
    </xf>
    <xf numFmtId="3" fontId="10" fillId="0" borderId="11" xfId="1" applyNumberFormat="1" applyFont="1" applyBorder="1" applyAlignment="1">
      <alignment vertical="center"/>
    </xf>
    <xf numFmtId="3" fontId="10" fillId="0" borderId="11" xfId="1" applyNumberFormat="1" applyFont="1" applyBorder="1" applyAlignment="1">
      <alignment horizontal="right" vertical="center"/>
    </xf>
    <xf numFmtId="3" fontId="10" fillId="0" borderId="10" xfId="0" applyNumberFormat="1" applyFont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/>
    </xf>
    <xf numFmtId="3" fontId="10" fillId="9" borderId="10" xfId="1" applyNumberFormat="1" applyFont="1" applyFill="1" applyBorder="1" applyAlignment="1"/>
    <xf numFmtId="3" fontId="10" fillId="9" borderId="11" xfId="1" applyNumberFormat="1" applyFont="1" applyFill="1" applyBorder="1" applyAlignment="1"/>
    <xf numFmtId="0" fontId="10" fillId="12" borderId="10" xfId="0" applyFont="1" applyFill="1" applyBorder="1" applyAlignment="1">
      <alignment horizontal="center" vertical="center"/>
    </xf>
    <xf numFmtId="3" fontId="10" fillId="12" borderId="10" xfId="1" applyNumberFormat="1" applyFont="1" applyFill="1" applyBorder="1" applyAlignment="1"/>
    <xf numFmtId="3" fontId="10" fillId="12" borderId="11" xfId="1" applyNumberFormat="1" applyFont="1" applyFill="1" applyBorder="1" applyAlignment="1"/>
    <xf numFmtId="166" fontId="10" fillId="0" borderId="10" xfId="1" applyNumberFormat="1" applyFont="1" applyFill="1" applyBorder="1" applyAlignment="1"/>
    <xf numFmtId="166" fontId="10" fillId="7" borderId="10" xfId="1" applyNumberFormat="1" applyFont="1" applyFill="1" applyBorder="1" applyAlignment="1"/>
    <xf numFmtId="3" fontId="10" fillId="7" borderId="10" xfId="0" applyNumberFormat="1" applyFont="1" applyFill="1" applyBorder="1" applyAlignment="1"/>
    <xf numFmtId="0" fontId="10" fillId="13" borderId="10" xfId="0" applyFont="1" applyFill="1" applyBorder="1" applyAlignment="1">
      <alignment horizontal="center" vertical="center"/>
    </xf>
    <xf numFmtId="3" fontId="10" fillId="13" borderId="10" xfId="0" applyNumberFormat="1" applyFont="1" applyFill="1" applyBorder="1" applyAlignment="1"/>
    <xf numFmtId="3" fontId="10" fillId="13" borderId="11" xfId="0" applyNumberFormat="1" applyFont="1" applyFill="1" applyBorder="1" applyAlignment="1"/>
    <xf numFmtId="0" fontId="10" fillId="14" borderId="10" xfId="0" applyFont="1" applyFill="1" applyBorder="1" applyAlignment="1">
      <alignment horizontal="center" vertical="center"/>
    </xf>
    <xf numFmtId="3" fontId="12" fillId="14" borderId="10" xfId="0" applyNumberFormat="1" applyFont="1" applyFill="1" applyBorder="1" applyAlignment="1"/>
    <xf numFmtId="3" fontId="12" fillId="14" borderId="11" xfId="0" applyNumberFormat="1" applyFont="1" applyFill="1" applyBorder="1" applyAlignment="1"/>
    <xf numFmtId="3" fontId="10" fillId="7" borderId="11" xfId="0" applyNumberFormat="1" applyFont="1" applyFill="1" applyBorder="1" applyAlignment="1"/>
    <xf numFmtId="3" fontId="10" fillId="14" borderId="10" xfId="0" applyNumberFormat="1" applyFont="1" applyFill="1" applyBorder="1" applyAlignment="1"/>
    <xf numFmtId="3" fontId="10" fillId="14" borderId="11" xfId="0" applyNumberFormat="1" applyFont="1" applyFill="1" applyBorder="1" applyAlignment="1"/>
    <xf numFmtId="10" fontId="10" fillId="6" borderId="10" xfId="0" applyNumberFormat="1" applyFont="1" applyFill="1" applyBorder="1" applyAlignment="1">
      <alignment horizontal="center" vertical="center"/>
    </xf>
    <xf numFmtId="3" fontId="10" fillId="0" borderId="11" xfId="0" applyNumberFormat="1" applyFont="1" applyFill="1" applyBorder="1" applyAlignment="1"/>
    <xf numFmtId="0" fontId="10" fillId="15" borderId="10" xfId="0" applyFont="1" applyFill="1" applyBorder="1" applyAlignment="1">
      <alignment horizontal="center" vertical="center"/>
    </xf>
    <xf numFmtId="3" fontId="23" fillId="15" borderId="10" xfId="0" applyNumberFormat="1" applyFont="1" applyFill="1" applyBorder="1" applyAlignment="1"/>
    <xf numFmtId="3" fontId="23" fillId="3" borderId="10" xfId="0" applyNumberFormat="1" applyFont="1" applyFill="1" applyBorder="1" applyAlignment="1"/>
    <xf numFmtId="3" fontId="23" fillId="3" borderId="11" xfId="0" applyNumberFormat="1" applyFont="1" applyFill="1" applyBorder="1" applyAlignment="1"/>
    <xf numFmtId="0" fontId="10" fillId="0" borderId="8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/>
    </xf>
    <xf numFmtId="0" fontId="10" fillId="0" borderId="62" xfId="0" applyFont="1" applyFill="1" applyBorder="1" applyAlignment="1">
      <alignment horizontal="center" vertical="center"/>
    </xf>
    <xf numFmtId="0" fontId="10" fillId="0" borderId="58" xfId="0" applyFont="1" applyBorder="1"/>
    <xf numFmtId="0" fontId="10" fillId="0" borderId="59" xfId="0" applyFont="1" applyBorder="1"/>
    <xf numFmtId="0" fontId="24" fillId="0" borderId="0" xfId="0" applyFont="1" applyAlignment="1">
      <alignment horizontal="center"/>
    </xf>
    <xf numFmtId="3" fontId="2" fillId="0" borderId="47" xfId="0" applyNumberFormat="1" applyFont="1" applyBorder="1" applyAlignment="1">
      <alignment horizontal="right" vertical="center"/>
    </xf>
    <xf numFmtId="9" fontId="2" fillId="0" borderId="48" xfId="0" applyNumberFormat="1" applyFont="1" applyBorder="1" applyAlignment="1">
      <alignment horizontal="center" vertical="center"/>
    </xf>
    <xf numFmtId="10" fontId="2" fillId="0" borderId="48" xfId="0" applyNumberFormat="1" applyFont="1" applyBorder="1" applyAlignment="1">
      <alignment horizontal="center" vertical="center"/>
    </xf>
    <xf numFmtId="3" fontId="1" fillId="0" borderId="40" xfId="0" applyNumberFormat="1" applyFont="1" applyBorder="1" applyAlignment="1">
      <alignment horizontal="right" vertical="center"/>
    </xf>
    <xf numFmtId="3" fontId="2" fillId="0" borderId="26" xfId="0" applyNumberFormat="1" applyFont="1" applyBorder="1" applyAlignment="1">
      <alignment horizontal="right" vertical="center"/>
    </xf>
    <xf numFmtId="9" fontId="2" fillId="0" borderId="64" xfId="0" applyNumberFormat="1" applyFont="1" applyBorder="1" applyAlignment="1">
      <alignment horizontal="center" vertical="center"/>
    </xf>
    <xf numFmtId="166" fontId="10" fillId="4" borderId="10" xfId="1" applyNumberFormat="1" applyFont="1" applyFill="1" applyBorder="1" applyAlignment="1"/>
    <xf numFmtId="165" fontId="10" fillId="4" borderId="10" xfId="1" applyNumberFormat="1" applyFont="1" applyFill="1" applyBorder="1" applyAlignment="1"/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0" fillId="0" borderId="37" xfId="0" applyBorder="1"/>
    <xf numFmtId="3" fontId="12" fillId="3" borderId="24" xfId="0" applyNumberFormat="1" applyFont="1" applyFill="1" applyBorder="1" applyAlignment="1">
      <alignment horizontal="right" vertical="center"/>
    </xf>
    <xf numFmtId="0" fontId="1" fillId="0" borderId="45" xfId="0" applyFont="1" applyBorder="1"/>
    <xf numFmtId="0" fontId="0" fillId="0" borderId="65" xfId="0" applyBorder="1"/>
    <xf numFmtId="3" fontId="0" fillId="0" borderId="65" xfId="0" applyNumberFormat="1" applyBorder="1"/>
    <xf numFmtId="0" fontId="0" fillId="0" borderId="45" xfId="0" applyBorder="1"/>
    <xf numFmtId="0" fontId="0" fillId="0" borderId="39" xfId="0" applyBorder="1"/>
    <xf numFmtId="3" fontId="0" fillId="0" borderId="40" xfId="0" applyNumberFormat="1" applyBorder="1"/>
    <xf numFmtId="0" fontId="10" fillId="0" borderId="59" xfId="0" applyFont="1" applyBorder="1" applyAlignment="1"/>
    <xf numFmtId="3" fontId="10" fillId="0" borderId="59" xfId="0" applyNumberFormat="1" applyFont="1" applyBorder="1" applyAlignment="1"/>
    <xf numFmtId="0" fontId="10" fillId="0" borderId="58" xfId="0" applyFont="1" applyFill="1" applyBorder="1" applyAlignment="1"/>
    <xf numFmtId="0" fontId="10" fillId="0" borderId="59" xfId="0" applyFont="1" applyFill="1" applyBorder="1" applyAlignment="1"/>
    <xf numFmtId="0" fontId="10" fillId="0" borderId="57" xfId="0" applyFont="1" applyFill="1" applyBorder="1" applyAlignment="1"/>
    <xf numFmtId="0" fontId="10" fillId="0" borderId="60" xfId="0" applyFont="1" applyFill="1" applyBorder="1" applyAlignment="1"/>
    <xf numFmtId="3" fontId="10" fillId="16" borderId="10" xfId="0" applyNumberFormat="1" applyFont="1" applyFill="1" applyBorder="1" applyAlignment="1"/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3" fontId="12" fillId="3" borderId="8" xfId="0" applyNumberFormat="1" applyFont="1" applyFill="1" applyBorder="1" applyAlignment="1"/>
    <xf numFmtId="0" fontId="12" fillId="3" borderId="1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3" fontId="1" fillId="0" borderId="39" xfId="0" applyNumberFormat="1" applyFont="1" applyBorder="1" applyAlignment="1">
      <alignment horizontal="right" vertical="center"/>
    </xf>
    <xf numFmtId="3" fontId="1" fillId="0" borderId="47" xfId="0" applyNumberFormat="1" applyFont="1" applyBorder="1" applyAlignment="1">
      <alignment horizontal="right" vertical="center"/>
    </xf>
    <xf numFmtId="9" fontId="2" fillId="0" borderId="5" xfId="0" applyNumberFormat="1" applyFont="1" applyBorder="1" applyAlignment="1">
      <alignment horizontal="center" vertical="center"/>
    </xf>
    <xf numFmtId="3" fontId="2" fillId="0" borderId="48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 wrapText="1"/>
    </xf>
    <xf numFmtId="3" fontId="2" fillId="5" borderId="48" xfId="0" applyNumberFormat="1" applyFont="1" applyFill="1" applyBorder="1" applyAlignment="1">
      <alignment horizontal="right" vertical="center"/>
    </xf>
    <xf numFmtId="0" fontId="10" fillId="7" borderId="59" xfId="0" applyFont="1" applyFill="1" applyBorder="1" applyAlignment="1"/>
    <xf numFmtId="0" fontId="10" fillId="0" borderId="5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/>
    </xf>
    <xf numFmtId="3" fontId="1" fillId="5" borderId="17" xfId="0" applyNumberFormat="1" applyFont="1" applyFill="1" applyBorder="1" applyAlignment="1">
      <alignment horizontal="right" vertical="center"/>
    </xf>
    <xf numFmtId="3" fontId="1" fillId="5" borderId="38" xfId="0" applyNumberFormat="1" applyFont="1" applyFill="1" applyBorder="1" applyAlignment="1">
      <alignment horizontal="right" vertical="center"/>
    </xf>
    <xf numFmtId="3" fontId="2" fillId="5" borderId="55" xfId="0" applyNumberFormat="1" applyFont="1" applyFill="1" applyBorder="1" applyAlignment="1">
      <alignment horizontal="right" vertical="center"/>
    </xf>
    <xf numFmtId="3" fontId="1" fillId="5" borderId="40" xfId="0" applyNumberFormat="1" applyFont="1" applyFill="1" applyBorder="1" applyAlignment="1">
      <alignment horizontal="right" vertical="center"/>
    </xf>
    <xf numFmtId="3" fontId="1" fillId="5" borderId="30" xfId="0" applyNumberFormat="1" applyFont="1" applyFill="1" applyBorder="1" applyAlignment="1">
      <alignment horizontal="right" vertical="center"/>
    </xf>
    <xf numFmtId="3" fontId="1" fillId="5" borderId="46" xfId="0" applyNumberFormat="1" applyFont="1" applyFill="1" applyBorder="1" applyAlignment="1">
      <alignment horizontal="right" vertical="center"/>
    </xf>
    <xf numFmtId="3" fontId="13" fillId="5" borderId="48" xfId="0" applyNumberFormat="1" applyFont="1" applyFill="1" applyBorder="1" applyAlignment="1">
      <alignment horizontal="right" vertical="center"/>
    </xf>
    <xf numFmtId="3" fontId="1" fillId="5" borderId="22" xfId="0" applyNumberFormat="1" applyFont="1" applyFill="1" applyBorder="1" applyAlignment="1">
      <alignment horizontal="right" vertical="center"/>
    </xf>
    <xf numFmtId="3" fontId="1" fillId="5" borderId="3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13" xfId="3" applyFont="1" applyFill="1" applyBorder="1" applyAlignment="1">
      <alignment horizontal="left" vertical="center" wrapText="1"/>
    </xf>
    <xf numFmtId="0" fontId="1" fillId="0" borderId="14" xfId="3" applyFont="1" applyFill="1" applyBorder="1" applyAlignment="1">
      <alignment horizontal="left" vertical="center" wrapText="1"/>
    </xf>
    <xf numFmtId="0" fontId="2" fillId="0" borderId="23" xfId="3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0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3" fillId="0" borderId="47" xfId="0" applyFont="1" applyBorder="1" applyAlignment="1">
      <alignment horizontal="right" vertical="center"/>
    </xf>
    <xf numFmtId="3" fontId="13" fillId="0" borderId="47" xfId="0" applyNumberFormat="1" applyFont="1" applyBorder="1" applyAlignment="1">
      <alignment horizontal="right" vertical="center"/>
    </xf>
    <xf numFmtId="9" fontId="13" fillId="0" borderId="47" xfId="0" applyNumberFormat="1" applyFont="1" applyBorder="1" applyAlignment="1">
      <alignment horizontal="center" vertical="center"/>
    </xf>
    <xf numFmtId="168" fontId="13" fillId="0" borderId="47" xfId="0" applyNumberFormat="1" applyFont="1" applyBorder="1" applyAlignment="1">
      <alignment vertical="center"/>
    </xf>
    <xf numFmtId="168" fontId="13" fillId="0" borderId="48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right" vertical="center"/>
    </xf>
    <xf numFmtId="9" fontId="3" fillId="0" borderId="14" xfId="0" applyNumberFormat="1" applyFont="1" applyBorder="1" applyAlignment="1">
      <alignment horizontal="center" vertical="center"/>
    </xf>
    <xf numFmtId="168" fontId="3" fillId="0" borderId="14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13" xfId="0" applyFont="1" applyBorder="1" applyAlignment="1">
      <alignment horizontal="left" vertical="center"/>
    </xf>
    <xf numFmtId="0" fontId="1" fillId="0" borderId="13" xfId="2" applyFont="1" applyFill="1" applyBorder="1" applyAlignment="1">
      <alignment horizontal="left" vertical="center" wrapText="1"/>
    </xf>
    <xf numFmtId="0" fontId="1" fillId="0" borderId="13" xfId="3" applyFont="1" applyFill="1" applyBorder="1" applyAlignment="1">
      <alignment vertical="center" wrapText="1"/>
    </xf>
    <xf numFmtId="0" fontId="1" fillId="0" borderId="13" xfId="0" applyFont="1" applyBorder="1" applyAlignment="1">
      <alignment horizontal="right" vertical="center"/>
    </xf>
    <xf numFmtId="9" fontId="1" fillId="0" borderId="13" xfId="0" applyNumberFormat="1" applyFont="1" applyBorder="1" applyAlignment="1">
      <alignment horizontal="center" vertical="center"/>
    </xf>
    <xf numFmtId="168" fontId="1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3" fontId="3" fillId="0" borderId="13" xfId="0" applyNumberFormat="1" applyFont="1" applyBorder="1" applyAlignment="1">
      <alignment horizontal="right" vertical="center"/>
    </xf>
    <xf numFmtId="9" fontId="3" fillId="0" borderId="13" xfId="0" applyNumberFormat="1" applyFont="1" applyBorder="1" applyAlignment="1">
      <alignment horizontal="center" vertical="center"/>
    </xf>
    <xf numFmtId="168" fontId="3" fillId="0" borderId="13" xfId="0" applyNumberFormat="1" applyFont="1" applyBorder="1" applyAlignment="1">
      <alignment vertical="center"/>
    </xf>
    <xf numFmtId="0" fontId="3" fillId="0" borderId="33" xfId="0" applyFont="1" applyBorder="1" applyAlignment="1">
      <alignment horizontal="right" vertical="center"/>
    </xf>
    <xf numFmtId="3" fontId="3" fillId="0" borderId="33" xfId="0" applyNumberFormat="1" applyFont="1" applyBorder="1" applyAlignment="1">
      <alignment horizontal="right" vertical="center"/>
    </xf>
    <xf numFmtId="44" fontId="3" fillId="0" borderId="33" xfId="4" applyFont="1" applyBorder="1" applyAlignment="1">
      <alignment horizontal="center" vertical="center"/>
    </xf>
    <xf numFmtId="168" fontId="3" fillId="0" borderId="33" xfId="0" applyNumberFormat="1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horizontal="right" vertical="center"/>
    </xf>
    <xf numFmtId="9" fontId="1" fillId="0" borderId="14" xfId="0" applyNumberFormat="1" applyFont="1" applyBorder="1" applyAlignment="1">
      <alignment horizontal="center" vertical="center"/>
    </xf>
    <xf numFmtId="168" fontId="1" fillId="0" borderId="14" xfId="0" applyNumberFormat="1" applyFont="1" applyBorder="1" applyAlignment="1">
      <alignment vertical="center"/>
    </xf>
    <xf numFmtId="0" fontId="1" fillId="0" borderId="13" xfId="0" applyFont="1" applyBorder="1" applyAlignment="1">
      <alignment horizontal="left" vertical="center" wrapText="1"/>
    </xf>
    <xf numFmtId="3" fontId="13" fillId="0" borderId="13" xfId="0" applyNumberFormat="1" applyFont="1" applyBorder="1" applyAlignment="1">
      <alignment horizontal="right" vertical="center"/>
    </xf>
    <xf numFmtId="9" fontId="13" fillId="0" borderId="13" xfId="0" applyNumberFormat="1" applyFont="1" applyBorder="1" applyAlignment="1">
      <alignment horizontal="center" vertical="center"/>
    </xf>
    <xf numFmtId="168" fontId="13" fillId="0" borderId="13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1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9" fontId="1" fillId="0" borderId="13" xfId="0" applyNumberFormat="1" applyFont="1" applyBorder="1" applyAlignment="1">
      <alignment horizontal="right" vertical="center"/>
    </xf>
    <xf numFmtId="168" fontId="1" fillId="0" borderId="13" xfId="0" applyNumberFormat="1" applyFont="1" applyBorder="1" applyAlignment="1">
      <alignment horizontal="right" vertical="center"/>
    </xf>
    <xf numFmtId="3" fontId="1" fillId="5" borderId="13" xfId="0" applyNumberFormat="1" applyFont="1" applyFill="1" applyBorder="1" applyAlignment="1">
      <alignment vertical="center"/>
    </xf>
    <xf numFmtId="168" fontId="1" fillId="0" borderId="13" xfId="0" applyNumberFormat="1" applyFont="1" applyBorder="1" applyAlignment="1">
      <alignment horizontal="center" vertical="center"/>
    </xf>
    <xf numFmtId="165" fontId="13" fillId="5" borderId="13" xfId="1" applyNumberFormat="1" applyFont="1" applyFill="1" applyBorder="1" applyAlignment="1">
      <alignment vertical="center"/>
    </xf>
    <xf numFmtId="165" fontId="13" fillId="0" borderId="13" xfId="1" applyNumberFormat="1" applyFont="1" applyBorder="1" applyAlignment="1">
      <alignment vertical="center"/>
    </xf>
    <xf numFmtId="9" fontId="13" fillId="5" borderId="13" xfId="1" applyNumberFormat="1" applyFont="1" applyFill="1" applyBorder="1" applyAlignment="1">
      <alignment horizontal="center" vertical="center"/>
    </xf>
    <xf numFmtId="168" fontId="13" fillId="5" borderId="13" xfId="0" applyNumberFormat="1" applyFont="1" applyFill="1" applyBorder="1" applyAlignment="1">
      <alignment horizontal="center" vertical="center"/>
    </xf>
    <xf numFmtId="165" fontId="1" fillId="5" borderId="13" xfId="1" applyNumberFormat="1" applyFont="1" applyFill="1" applyBorder="1" applyAlignment="1">
      <alignment vertical="center"/>
    </xf>
    <xf numFmtId="165" fontId="1" fillId="0" borderId="13" xfId="1" applyNumberFormat="1" applyFont="1" applyBorder="1" applyAlignment="1">
      <alignment vertical="center"/>
    </xf>
    <xf numFmtId="9" fontId="3" fillId="5" borderId="13" xfId="1" applyNumberFormat="1" applyFont="1" applyFill="1" applyBorder="1" applyAlignment="1">
      <alignment horizontal="center" vertical="center"/>
    </xf>
    <xf numFmtId="168" fontId="1" fillId="5" borderId="13" xfId="0" applyNumberFormat="1" applyFont="1" applyFill="1" applyBorder="1" applyAlignment="1">
      <alignment horizontal="center" vertical="center"/>
    </xf>
    <xf numFmtId="165" fontId="13" fillId="0" borderId="13" xfId="1" applyNumberFormat="1" applyFont="1" applyBorder="1" applyAlignment="1">
      <alignment horizontal="right" vertical="center"/>
    </xf>
    <xf numFmtId="165" fontId="13" fillId="5" borderId="13" xfId="1" applyNumberFormat="1" applyFont="1" applyFill="1" applyBorder="1" applyAlignment="1">
      <alignment horizontal="right" vertical="center"/>
    </xf>
    <xf numFmtId="0" fontId="1" fillId="0" borderId="13" xfId="3" applyFont="1" applyFill="1" applyBorder="1" applyAlignment="1">
      <alignment horizontal="right" vertical="center"/>
    </xf>
    <xf numFmtId="3" fontId="1" fillId="0" borderId="13" xfId="0" applyNumberFormat="1" applyFont="1" applyBorder="1" applyAlignment="1">
      <alignment vertical="center"/>
    </xf>
    <xf numFmtId="167" fontId="1" fillId="0" borderId="13" xfId="1" applyNumberFormat="1" applyFont="1" applyBorder="1" applyAlignment="1">
      <alignment horizontal="right" vertical="center"/>
    </xf>
    <xf numFmtId="164" fontId="1" fillId="0" borderId="13" xfId="1" applyFont="1" applyBorder="1" applyAlignment="1">
      <alignment horizontal="right" vertical="center"/>
    </xf>
    <xf numFmtId="0" fontId="1" fillId="0" borderId="13" xfId="0" applyFont="1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7" xfId="0" applyFont="1" applyBorder="1" applyAlignment="1">
      <alignment horizontal="center" vertical="center"/>
    </xf>
    <xf numFmtId="0" fontId="1" fillId="0" borderId="47" xfId="3" applyFont="1" applyFill="1" applyBorder="1" applyAlignment="1">
      <alignment horizontal="center" vertical="center"/>
    </xf>
    <xf numFmtId="0" fontId="1" fillId="0" borderId="48" xfId="3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2" fillId="0" borderId="63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0" fontId="1" fillId="0" borderId="39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1" fillId="0" borderId="13" xfId="0" applyFont="1" applyBorder="1" applyAlignment="1">
      <alignment horizontal="justify" vertical="center"/>
    </xf>
    <xf numFmtId="0" fontId="1" fillId="0" borderId="36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37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53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justify" vertical="center" wrapText="1"/>
    </xf>
    <xf numFmtId="49" fontId="1" fillId="0" borderId="13" xfId="3" applyNumberFormat="1" applyFont="1" applyFill="1" applyBorder="1" applyAlignment="1">
      <alignment horizontal="left" vertical="center" wrapText="1"/>
    </xf>
    <xf numFmtId="0" fontId="1" fillId="0" borderId="20" xfId="3" applyFont="1" applyFill="1" applyBorder="1" applyAlignment="1">
      <alignment horizontal="center" vertical="center"/>
    </xf>
    <xf numFmtId="0" fontId="2" fillId="0" borderId="49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169" fontId="1" fillId="0" borderId="0" xfId="0" applyNumberFormat="1" applyFont="1" applyAlignment="1">
      <alignment vertical="center"/>
    </xf>
    <xf numFmtId="0" fontId="1" fillId="0" borderId="39" xfId="3" applyFont="1" applyFill="1" applyBorder="1" applyAlignment="1">
      <alignment horizontal="center" vertical="center"/>
    </xf>
    <xf numFmtId="0" fontId="1" fillId="0" borderId="33" xfId="0" applyFont="1" applyBorder="1" applyAlignment="1">
      <alignment horizontal="justify" vertical="center"/>
    </xf>
    <xf numFmtId="0" fontId="1" fillId="0" borderId="28" xfId="3" applyFont="1" applyFill="1" applyBorder="1" applyAlignment="1">
      <alignment horizontal="center" vertical="center"/>
    </xf>
    <xf numFmtId="3" fontId="1" fillId="0" borderId="40" xfId="3" applyNumberFormat="1" applyFont="1" applyFill="1" applyBorder="1" applyAlignment="1">
      <alignment horizontal="right" vertical="center"/>
    </xf>
    <xf numFmtId="3" fontId="1" fillId="0" borderId="14" xfId="3" applyNumberFormat="1" applyFont="1" applyFill="1" applyBorder="1" applyAlignment="1">
      <alignment horizontal="right" vertical="center"/>
    </xf>
    <xf numFmtId="3" fontId="1" fillId="0" borderId="17" xfId="3" applyNumberFormat="1" applyFont="1" applyFill="1" applyBorder="1" applyAlignment="1">
      <alignment horizontal="right" vertical="center"/>
    </xf>
    <xf numFmtId="3" fontId="1" fillId="0" borderId="13" xfId="3" applyNumberFormat="1" applyFont="1" applyFill="1" applyBorder="1" applyAlignment="1">
      <alignment horizontal="right" vertical="center"/>
    </xf>
    <xf numFmtId="1" fontId="1" fillId="0" borderId="13" xfId="3" applyNumberFormat="1" applyFont="1" applyFill="1" applyBorder="1" applyAlignment="1">
      <alignment horizontal="right" vertical="center"/>
    </xf>
    <xf numFmtId="1" fontId="1" fillId="0" borderId="17" xfId="3" applyNumberFormat="1" applyFont="1" applyFill="1" applyBorder="1" applyAlignment="1">
      <alignment horizontal="right" vertical="center"/>
    </xf>
    <xf numFmtId="0" fontId="1" fillId="0" borderId="17" xfId="3" applyFont="1" applyFill="1" applyBorder="1" applyAlignment="1">
      <alignment horizontal="right" vertical="center"/>
    </xf>
    <xf numFmtId="0" fontId="1" fillId="0" borderId="30" xfId="3" applyFont="1" applyFill="1" applyBorder="1" applyAlignment="1">
      <alignment horizontal="right" vertical="center"/>
    </xf>
    <xf numFmtId="9" fontId="1" fillId="0" borderId="30" xfId="0" applyNumberFormat="1" applyFont="1" applyFill="1" applyBorder="1" applyAlignment="1">
      <alignment horizontal="center" vertical="center"/>
    </xf>
    <xf numFmtId="0" fontId="1" fillId="5" borderId="13" xfId="3" applyFont="1" applyFill="1" applyBorder="1" applyAlignment="1">
      <alignment horizontal="right" vertical="center"/>
    </xf>
    <xf numFmtId="0" fontId="1" fillId="0" borderId="25" xfId="2" applyFont="1" applyFill="1" applyBorder="1" applyAlignment="1">
      <alignment horizontal="left" vertical="center" wrapText="1"/>
    </xf>
    <xf numFmtId="0" fontId="1" fillId="0" borderId="54" xfId="3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vertical="center"/>
    </xf>
    <xf numFmtId="0" fontId="1" fillId="0" borderId="25" xfId="3" applyFont="1" applyFill="1" applyBorder="1" applyAlignment="1">
      <alignment horizontal="right" vertical="center"/>
    </xf>
    <xf numFmtId="0" fontId="1" fillId="5" borderId="25" xfId="3" applyFont="1" applyFill="1" applyBorder="1" applyAlignment="1">
      <alignment horizontal="right" vertical="center"/>
    </xf>
    <xf numFmtId="9" fontId="1" fillId="0" borderId="31" xfId="0" applyNumberFormat="1" applyFont="1" applyFill="1" applyBorder="1" applyAlignment="1">
      <alignment horizontal="center" vertical="center"/>
    </xf>
    <xf numFmtId="0" fontId="12" fillId="5" borderId="13" xfId="3" applyFont="1" applyFill="1" applyBorder="1" applyAlignment="1">
      <alignment horizontal="left" vertical="center" wrapText="1"/>
    </xf>
    <xf numFmtId="49" fontId="12" fillId="5" borderId="13" xfId="3" applyNumberFormat="1" applyFont="1" applyFill="1" applyBorder="1" applyAlignment="1">
      <alignment horizontal="left" vertical="center" wrapText="1"/>
    </xf>
    <xf numFmtId="49" fontId="12" fillId="5" borderId="1" xfId="3" applyNumberFormat="1" applyFont="1" applyFill="1" applyBorder="1" applyAlignment="1">
      <alignment horizontal="center" vertical="center" wrapText="1"/>
    </xf>
    <xf numFmtId="0" fontId="2" fillId="5" borderId="66" xfId="3" applyFont="1" applyFill="1" applyBorder="1" applyAlignment="1">
      <alignment horizontal="center" vertical="center" wrapText="1"/>
    </xf>
    <xf numFmtId="0" fontId="2" fillId="0" borderId="10" xfId="3" applyFont="1" applyFill="1" applyBorder="1" applyAlignment="1">
      <alignment horizontal="center" vertical="center" wrapText="1"/>
    </xf>
    <xf numFmtId="1" fontId="0" fillId="0" borderId="2" xfId="0" applyNumberFormat="1" applyBorder="1"/>
    <xf numFmtId="1" fontId="0" fillId="0" borderId="3" xfId="0" applyNumberFormat="1" applyBorder="1"/>
    <xf numFmtId="1" fontId="7" fillId="0" borderId="2" xfId="0" applyNumberFormat="1" applyFont="1" applyBorder="1"/>
    <xf numFmtId="1" fontId="7" fillId="0" borderId="3" xfId="0" applyNumberFormat="1" applyFont="1" applyBorder="1"/>
    <xf numFmtId="3" fontId="0" fillId="0" borderId="3" xfId="0" applyNumberFormat="1" applyBorder="1"/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7" xfId="0" applyFont="1" applyBorder="1" applyAlignment="1">
      <alignment horizontal="center"/>
    </xf>
    <xf numFmtId="0" fontId="0" fillId="0" borderId="51" xfId="0" applyBorder="1"/>
    <xf numFmtId="3" fontId="10" fillId="0" borderId="51" xfId="0" applyNumberFormat="1" applyFont="1" applyBorder="1"/>
    <xf numFmtId="3" fontId="10" fillId="0" borderId="11" xfId="0" applyNumberFormat="1" applyFont="1" applyFill="1" applyBorder="1" applyAlignment="1">
      <alignment horizontal="right" vertical="center"/>
    </xf>
    <xf numFmtId="0" fontId="10" fillId="0" borderId="67" xfId="0" applyFont="1" applyFill="1" applyBorder="1"/>
    <xf numFmtId="0" fontId="10" fillId="0" borderId="51" xfId="0" applyFont="1" applyFill="1" applyBorder="1"/>
    <xf numFmtId="0" fontId="10" fillId="0" borderId="68" xfId="0" applyFont="1" applyFill="1" applyBorder="1"/>
    <xf numFmtId="0" fontId="10" fillId="0" borderId="52" xfId="0" applyFont="1" applyFill="1" applyBorder="1"/>
    <xf numFmtId="0" fontId="10" fillId="0" borderId="13" xfId="0" applyFont="1" applyBorder="1" applyAlignment="1">
      <alignment horizontal="center" vertical="center"/>
    </xf>
    <xf numFmtId="3" fontId="12" fillId="3" borderId="13" xfId="0" applyNumberFormat="1" applyFont="1" applyFill="1" applyBorder="1" applyAlignment="1"/>
    <xf numFmtId="3" fontId="10" fillId="3" borderId="13" xfId="0" applyNumberFormat="1" applyFont="1" applyFill="1" applyBorder="1" applyAlignment="1"/>
    <xf numFmtId="3" fontId="10" fillId="9" borderId="13" xfId="1" applyNumberFormat="1" applyFont="1" applyFill="1" applyBorder="1" applyAlignment="1"/>
    <xf numFmtId="3" fontId="10" fillId="0" borderId="13" xfId="1" applyNumberFormat="1" applyFont="1" applyBorder="1" applyAlignment="1"/>
    <xf numFmtId="3" fontId="10" fillId="5" borderId="13" xfId="1" applyNumberFormat="1" applyFont="1" applyFill="1" applyBorder="1" applyAlignment="1"/>
    <xf numFmtId="3" fontId="10" fillId="12" borderId="13" xfId="1" applyNumberFormat="1" applyFont="1" applyFill="1" applyBorder="1" applyAlignment="1"/>
    <xf numFmtId="3" fontId="12" fillId="4" borderId="13" xfId="0" applyNumberFormat="1" applyFont="1" applyFill="1" applyBorder="1" applyAlignment="1"/>
    <xf numFmtId="3" fontId="10" fillId="4" borderId="13" xfId="0" applyNumberFormat="1" applyFont="1" applyFill="1" applyBorder="1" applyAlignment="1"/>
    <xf numFmtId="3" fontId="10" fillId="0" borderId="13" xfId="0" applyNumberFormat="1" applyFont="1" applyFill="1" applyBorder="1" applyAlignment="1"/>
    <xf numFmtId="166" fontId="10" fillId="7" borderId="13" xfId="1" applyNumberFormat="1" applyFont="1" applyFill="1" applyBorder="1" applyAlignment="1"/>
    <xf numFmtId="3" fontId="10" fillId="7" borderId="13" xfId="0" applyNumberFormat="1" applyFont="1" applyFill="1" applyBorder="1" applyAlignment="1"/>
    <xf numFmtId="3" fontId="10" fillId="13" borderId="13" xfId="0" applyNumberFormat="1" applyFont="1" applyFill="1" applyBorder="1" applyAlignment="1"/>
    <xf numFmtId="3" fontId="10" fillId="5" borderId="13" xfId="0" applyNumberFormat="1" applyFont="1" applyFill="1" applyBorder="1" applyAlignment="1"/>
    <xf numFmtId="165" fontId="12" fillId="4" borderId="13" xfId="1" applyNumberFormat="1" applyFont="1" applyFill="1" applyBorder="1" applyAlignment="1"/>
    <xf numFmtId="3" fontId="12" fillId="10" borderId="13" xfId="0" applyNumberFormat="1" applyFont="1" applyFill="1" applyBorder="1" applyAlignment="1"/>
    <xf numFmtId="3" fontId="12" fillId="14" borderId="13" xfId="0" applyNumberFormat="1" applyFont="1" applyFill="1" applyBorder="1" applyAlignment="1"/>
    <xf numFmtId="3" fontId="10" fillId="14" borderId="13" xfId="0" applyNumberFormat="1" applyFont="1" applyFill="1" applyBorder="1" applyAlignment="1"/>
    <xf numFmtId="3" fontId="10" fillId="6" borderId="13" xfId="0" applyNumberFormat="1" applyFont="1" applyFill="1" applyBorder="1" applyAlignment="1"/>
    <xf numFmtId="3" fontId="10" fillId="10" borderId="13" xfId="0" applyNumberFormat="1" applyFont="1" applyFill="1" applyBorder="1" applyAlignment="1"/>
    <xf numFmtId="3" fontId="10" fillId="8" borderId="13" xfId="0" applyNumberFormat="1" applyFont="1" applyFill="1" applyBorder="1" applyAlignment="1"/>
    <xf numFmtId="3" fontId="12" fillId="0" borderId="13" xfId="0" applyNumberFormat="1" applyFont="1" applyFill="1" applyBorder="1" applyAlignment="1"/>
    <xf numFmtId="3" fontId="23" fillId="15" borderId="13" xfId="0" applyNumberFormat="1" applyFont="1" applyFill="1" applyBorder="1" applyAlignment="1"/>
    <xf numFmtId="0" fontId="10" fillId="0" borderId="13" xfId="0" applyFont="1" applyFill="1" applyBorder="1" applyAlignment="1">
      <alignment horizontal="center" vertical="center"/>
    </xf>
    <xf numFmtId="0" fontId="0" fillId="0" borderId="13" xfId="0" applyBorder="1"/>
    <xf numFmtId="3" fontId="10" fillId="17" borderId="10" xfId="0" applyNumberFormat="1" applyFont="1" applyFill="1" applyBorder="1" applyAlignment="1"/>
    <xf numFmtId="3" fontId="10" fillId="17" borderId="11" xfId="0" applyNumberFormat="1" applyFont="1" applyFill="1" applyBorder="1" applyAlignment="1"/>
    <xf numFmtId="0" fontId="10" fillId="17" borderId="16" xfId="0" applyFont="1" applyFill="1" applyBorder="1" applyAlignment="1">
      <alignment horizontal="left" vertical="center" wrapText="1"/>
    </xf>
    <xf numFmtId="0" fontId="10" fillId="17" borderId="12" xfId="0" applyFont="1" applyFill="1" applyBorder="1" applyAlignment="1">
      <alignment horizontal="left" vertical="center" wrapText="1"/>
    </xf>
    <xf numFmtId="0" fontId="20" fillId="17" borderId="12" xfId="0" applyFont="1" applyFill="1" applyBorder="1" applyAlignment="1">
      <alignment horizontal="center" vertical="center" wrapText="1"/>
    </xf>
    <xf numFmtId="0" fontId="10" fillId="17" borderId="10" xfId="0" applyFont="1" applyFill="1" applyBorder="1" applyAlignment="1">
      <alignment horizontal="center" vertical="center"/>
    </xf>
    <xf numFmtId="3" fontId="10" fillId="17" borderId="11" xfId="0" applyNumberFormat="1" applyFont="1" applyFill="1" applyBorder="1" applyAlignment="1">
      <alignment horizontal="right" vertical="center"/>
    </xf>
    <xf numFmtId="3" fontId="10" fillId="17" borderId="13" xfId="0" applyNumberFormat="1" applyFont="1" applyFill="1" applyBorder="1" applyAlignment="1"/>
    <xf numFmtId="3" fontId="10" fillId="17" borderId="13" xfId="0" applyNumberFormat="1" applyFont="1" applyFill="1" applyBorder="1"/>
    <xf numFmtId="0" fontId="10" fillId="17" borderId="12" xfId="0" applyFont="1" applyFill="1" applyBorder="1" applyAlignment="1">
      <alignment horizontal="center" vertical="center" wrapText="1"/>
    </xf>
    <xf numFmtId="3" fontId="10" fillId="16" borderId="11" xfId="0" applyNumberFormat="1" applyFont="1" applyFill="1" applyBorder="1" applyAlignment="1"/>
    <xf numFmtId="0" fontId="1" fillId="0" borderId="13" xfId="0" applyFont="1" applyBorder="1"/>
    <xf numFmtId="0" fontId="2" fillId="0" borderId="8" xfId="0" applyFont="1" applyBorder="1" applyAlignment="1">
      <alignment horizontal="center" vertical="center" wrapText="1"/>
    </xf>
    <xf numFmtId="165" fontId="12" fillId="4" borderId="11" xfId="1" applyNumberFormat="1" applyFont="1" applyFill="1" applyBorder="1" applyAlignment="1">
      <alignment horizontal="right" vertical="center"/>
    </xf>
    <xf numFmtId="3" fontId="10" fillId="7" borderId="11" xfId="0" applyNumberFormat="1" applyFont="1" applyFill="1" applyBorder="1" applyAlignment="1">
      <alignment horizontal="right" vertical="center"/>
    </xf>
    <xf numFmtId="3" fontId="10" fillId="2" borderId="11" xfId="0" applyNumberFormat="1" applyFont="1" applyFill="1" applyBorder="1" applyAlignment="1">
      <alignment horizontal="right" vertical="center"/>
    </xf>
    <xf numFmtId="0" fontId="10" fillId="0" borderId="13" xfId="0" applyFont="1" applyFill="1" applyBorder="1" applyAlignment="1">
      <alignment horizontal="center" vertical="center" wrapText="1"/>
    </xf>
    <xf numFmtId="3" fontId="10" fillId="0" borderId="13" xfId="0" applyNumberFormat="1" applyFont="1" applyFill="1" applyBorder="1"/>
    <xf numFmtId="3" fontId="2" fillId="5" borderId="47" xfId="0" applyNumberFormat="1" applyFont="1" applyFill="1" applyBorder="1" applyAlignment="1">
      <alignment horizontal="right" vertical="center"/>
    </xf>
    <xf numFmtId="3" fontId="13" fillId="5" borderId="55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/>
    </xf>
    <xf numFmtId="0" fontId="13" fillId="5" borderId="47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left" vertical="center" wrapText="1"/>
    </xf>
    <xf numFmtId="0" fontId="1" fillId="5" borderId="2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center" vertical="center"/>
    </xf>
    <xf numFmtId="0" fontId="13" fillId="5" borderId="49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left"/>
    </xf>
    <xf numFmtId="0" fontId="1" fillId="5" borderId="16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3" fontId="26" fillId="6" borderId="10" xfId="0" applyNumberFormat="1" applyFont="1" applyFill="1" applyBorder="1" applyAlignment="1">
      <alignment horizontal="right" vertical="center"/>
    </xf>
    <xf numFmtId="3" fontId="26" fillId="6" borderId="11" xfId="0" applyNumberFormat="1" applyFont="1" applyFill="1" applyBorder="1" applyAlignment="1">
      <alignment horizontal="right" vertical="center"/>
    </xf>
    <xf numFmtId="0" fontId="13" fillId="5" borderId="47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left" vertical="center" wrapText="1"/>
    </xf>
    <xf numFmtId="0" fontId="1" fillId="5" borderId="2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 vertical="center"/>
    </xf>
    <xf numFmtId="0" fontId="13" fillId="5" borderId="49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3" xfId="2" applyFont="1" applyFill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3" fillId="0" borderId="4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1" fillId="0" borderId="13" xfId="3" applyFont="1" applyFill="1" applyBorder="1" applyAlignment="1">
      <alignment horizontal="left" vertical="center" wrapText="1"/>
    </xf>
    <xf numFmtId="0" fontId="1" fillId="0" borderId="13" xfId="3" applyFont="1" applyFill="1" applyBorder="1" applyAlignment="1">
      <alignment vertical="center"/>
    </xf>
    <xf numFmtId="0" fontId="10" fillId="0" borderId="11" xfId="0" applyFont="1" applyBorder="1" applyAlignment="1">
      <alignment horizontal="center" vertical="center" wrapText="1"/>
    </xf>
    <xf numFmtId="0" fontId="27" fillId="0" borderId="0" xfId="0" applyFont="1" applyFill="1" applyAlignment="1">
      <alignment horizontal="left"/>
    </xf>
    <xf numFmtId="0" fontId="27" fillId="0" borderId="0" xfId="0" applyFont="1" applyFill="1"/>
    <xf numFmtId="0" fontId="27" fillId="0" borderId="0" xfId="0" applyFont="1" applyFill="1" applyAlignment="1"/>
    <xf numFmtId="0" fontId="27" fillId="0" borderId="0" xfId="0" applyFont="1" applyFill="1" applyAlignment="1">
      <alignment horizontal="center"/>
    </xf>
    <xf numFmtId="0" fontId="27" fillId="0" borderId="1" xfId="0" applyFont="1" applyFill="1" applyBorder="1"/>
    <xf numFmtId="0" fontId="28" fillId="0" borderId="0" xfId="0" applyFont="1" applyFill="1"/>
    <xf numFmtId="0" fontId="27" fillId="0" borderId="13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left" vertical="center"/>
    </xf>
    <xf numFmtId="0" fontId="27" fillId="0" borderId="13" xfId="0" applyFont="1" applyFill="1" applyBorder="1" applyAlignment="1">
      <alignment horizontal="center"/>
    </xf>
    <xf numFmtId="0" fontId="27" fillId="0" borderId="13" xfId="0" applyFont="1" applyFill="1" applyBorder="1"/>
    <xf numFmtId="3" fontId="29" fillId="0" borderId="13" xfId="0" applyNumberFormat="1" applyFont="1" applyFill="1" applyBorder="1" applyAlignment="1">
      <alignment horizontal="right" vertical="center"/>
    </xf>
    <xf numFmtId="3" fontId="27" fillId="0" borderId="13" xfId="0" applyNumberFormat="1" applyFont="1" applyFill="1" applyBorder="1"/>
    <xf numFmtId="3" fontId="27" fillId="0" borderId="1" xfId="0" applyNumberFormat="1" applyFont="1" applyFill="1" applyBorder="1"/>
    <xf numFmtId="3" fontId="27" fillId="0" borderId="13" xfId="0" applyNumberFormat="1" applyFont="1" applyFill="1" applyBorder="1" applyAlignment="1">
      <alignment horizontal="right" vertical="center"/>
    </xf>
    <xf numFmtId="3" fontId="27" fillId="0" borderId="13" xfId="0" applyNumberFormat="1" applyFont="1" applyFill="1" applyBorder="1" applyAlignment="1">
      <alignment vertical="center"/>
    </xf>
    <xf numFmtId="3" fontId="27" fillId="0" borderId="13" xfId="1" applyNumberFormat="1" applyFont="1" applyFill="1" applyBorder="1" applyAlignment="1">
      <alignment vertical="top"/>
    </xf>
    <xf numFmtId="0" fontId="27" fillId="0" borderId="13" xfId="0" applyFont="1" applyFill="1" applyBorder="1" applyAlignment="1">
      <alignment horizontal="left" vertical="center" wrapText="1"/>
    </xf>
    <xf numFmtId="165" fontId="29" fillId="0" borderId="13" xfId="1" applyNumberFormat="1" applyFont="1" applyFill="1" applyBorder="1" applyAlignment="1">
      <alignment horizontal="right" vertical="center"/>
    </xf>
    <xf numFmtId="0" fontId="29" fillId="0" borderId="13" xfId="3" applyFont="1" applyFill="1" applyBorder="1" applyAlignment="1">
      <alignment horizontal="center" vertical="center"/>
    </xf>
    <xf numFmtId="0" fontId="29" fillId="0" borderId="13" xfId="3" applyFont="1" applyFill="1" applyBorder="1" applyAlignment="1">
      <alignment horizontal="left" vertical="top" wrapText="1"/>
    </xf>
    <xf numFmtId="49" fontId="29" fillId="0" borderId="13" xfId="3" applyNumberFormat="1" applyFont="1" applyFill="1" applyBorder="1" applyAlignment="1">
      <alignment horizontal="left" vertical="top" wrapText="1"/>
    </xf>
    <xf numFmtId="0" fontId="29" fillId="0" borderId="13" xfId="3" applyFont="1" applyFill="1" applyBorder="1" applyAlignment="1">
      <alignment horizontal="left" vertical="center"/>
    </xf>
    <xf numFmtId="0" fontId="27" fillId="0" borderId="13" xfId="3" applyFont="1" applyFill="1" applyBorder="1" applyAlignment="1">
      <alignment horizontal="center"/>
    </xf>
    <xf numFmtId="0" fontId="28" fillId="0" borderId="13" xfId="0" applyFont="1" applyFill="1" applyBorder="1" applyAlignment="1">
      <alignment horizontal="center" vertical="center"/>
    </xf>
    <xf numFmtId="0" fontId="27" fillId="0" borderId="13" xfId="3" applyFont="1" applyFill="1" applyBorder="1" applyAlignment="1">
      <alignment horizontal="center" vertical="center"/>
    </xf>
    <xf numFmtId="0" fontId="29" fillId="0" borderId="13" xfId="0" applyFont="1" applyFill="1" applyBorder="1"/>
    <xf numFmtId="0" fontId="29" fillId="0" borderId="1" xfId="0" applyFont="1" applyFill="1" applyBorder="1"/>
    <xf numFmtId="3" fontId="29" fillId="0" borderId="1" xfId="0" applyNumberFormat="1" applyFont="1" applyFill="1" applyBorder="1"/>
    <xf numFmtId="165" fontId="27" fillId="0" borderId="1" xfId="0" applyNumberFormat="1" applyFont="1" applyFill="1" applyBorder="1"/>
    <xf numFmtId="0" fontId="27" fillId="0" borderId="1" xfId="0" applyFont="1" applyFill="1" applyBorder="1" applyAlignment="1">
      <alignment horizontal="left" vertical="center"/>
    </xf>
    <xf numFmtId="10" fontId="27" fillId="0" borderId="1" xfId="0" applyNumberFormat="1" applyFont="1" applyFill="1" applyBorder="1" applyAlignment="1">
      <alignment horizontal="left" vertical="center"/>
    </xf>
    <xf numFmtId="165" fontId="27" fillId="0" borderId="1" xfId="1" applyNumberFormat="1" applyFont="1" applyFill="1" applyBorder="1"/>
    <xf numFmtId="0" fontId="27" fillId="0" borderId="1" xfId="0" applyFont="1" applyFill="1" applyBorder="1" applyAlignment="1">
      <alignment horizontal="left" vertical="center" wrapText="1"/>
    </xf>
    <xf numFmtId="10" fontId="27" fillId="0" borderId="1" xfId="0" applyNumberFormat="1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left"/>
    </xf>
    <xf numFmtId="0" fontId="1" fillId="5" borderId="11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left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left" vertical="center"/>
    </xf>
    <xf numFmtId="0" fontId="13" fillId="5" borderId="49" xfId="0" applyFont="1" applyFill="1" applyBorder="1" applyAlignment="1">
      <alignment horizontal="center" vertical="center"/>
    </xf>
    <xf numFmtId="0" fontId="13" fillId="5" borderId="47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5" borderId="13" xfId="3" applyFont="1" applyFill="1" applyBorder="1" applyAlignment="1">
      <alignment horizontal="left" vertical="center" wrapText="1"/>
    </xf>
    <xf numFmtId="0" fontId="1" fillId="5" borderId="33" xfId="0" applyFont="1" applyFill="1" applyBorder="1" applyAlignment="1">
      <alignment horizontal="center" vertical="center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" fillId="5" borderId="14" xfId="2" applyFont="1" applyFill="1" applyBorder="1" applyAlignment="1">
      <alignment horizontal="left" vertical="top" wrapText="1"/>
    </xf>
    <xf numFmtId="0" fontId="1" fillId="5" borderId="13" xfId="2" applyFont="1" applyFill="1" applyBorder="1" applyAlignment="1">
      <alignment horizontal="left" vertical="top" wrapText="1"/>
    </xf>
    <xf numFmtId="0" fontId="1" fillId="5" borderId="25" xfId="0" applyFont="1" applyFill="1" applyBorder="1" applyAlignment="1">
      <alignment horizontal="left"/>
    </xf>
    <xf numFmtId="0" fontId="27" fillId="0" borderId="0" xfId="0" applyFont="1" applyFill="1" applyAlignment="1">
      <alignment horizontal="left"/>
    </xf>
    <xf numFmtId="0" fontId="27" fillId="0" borderId="13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left" vertical="center"/>
    </xf>
    <xf numFmtId="0" fontId="29" fillId="0" borderId="13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left" vertical="center" wrapText="1"/>
    </xf>
    <xf numFmtId="0" fontId="29" fillId="0" borderId="13" xfId="3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9" fillId="0" borderId="13" xfId="2" applyFont="1" applyFill="1" applyBorder="1" applyAlignment="1">
      <alignment horizontal="left" vertical="top" wrapText="1"/>
    </xf>
    <xf numFmtId="0" fontId="29" fillId="0" borderId="13" xfId="0" applyFont="1" applyFill="1" applyBorder="1" applyAlignment="1">
      <alignment horizontal="left"/>
    </xf>
    <xf numFmtId="0" fontId="13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0" fontId="1" fillId="0" borderId="8" xfId="0" applyNumberFormat="1" applyFont="1" applyBorder="1" applyAlignment="1">
      <alignment horizontal="center" vertical="center"/>
    </xf>
    <xf numFmtId="10" fontId="1" fillId="0" borderId="9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3" fillId="0" borderId="47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13" fillId="0" borderId="47" xfId="2" applyFont="1" applyFill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 wrapText="1"/>
    </xf>
    <xf numFmtId="0" fontId="1" fillId="0" borderId="13" xfId="2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3" xfId="3" applyFont="1" applyFill="1" applyBorder="1" applyAlignment="1">
      <alignment horizontal="center" vertical="center"/>
    </xf>
    <xf numFmtId="0" fontId="1" fillId="0" borderId="13" xfId="0" applyFont="1" applyBorder="1" applyAlignment="1">
      <alignment horizontal="justify" vertical="center" wrapText="1"/>
    </xf>
    <xf numFmtId="0" fontId="1" fillId="0" borderId="13" xfId="3" applyFont="1" applyFill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/>
    </xf>
    <xf numFmtId="0" fontId="1" fillId="0" borderId="13" xfId="0" applyFont="1" applyBorder="1" applyAlignment="1">
      <alignment horizontal="justify" vertical="center"/>
    </xf>
    <xf numFmtId="0" fontId="1" fillId="0" borderId="4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/>
    </xf>
    <xf numFmtId="0" fontId="2" fillId="0" borderId="49" xfId="3" applyFont="1" applyFill="1" applyBorder="1" applyAlignment="1">
      <alignment horizontal="left" vertical="center" wrapText="1"/>
    </xf>
    <xf numFmtId="0" fontId="2" fillId="0" borderId="47" xfId="3" applyFont="1" applyFill="1" applyBorder="1" applyAlignment="1">
      <alignment horizontal="left" vertical="center" wrapText="1"/>
    </xf>
    <xf numFmtId="0" fontId="1" fillId="0" borderId="14" xfId="3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47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3" applyFont="1" applyFill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4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 wrapText="1" indent="1"/>
    </xf>
    <xf numFmtId="0" fontId="1" fillId="0" borderId="15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8" xfId="0" applyFont="1" applyBorder="1" applyAlignment="1">
      <alignment horizontal="justify" vertical="top" wrapText="1"/>
    </xf>
    <xf numFmtId="0" fontId="1" fillId="0" borderId="15" xfId="0" applyFont="1" applyBorder="1" applyAlignment="1">
      <alignment horizontal="justify" vertical="top" wrapText="1"/>
    </xf>
    <xf numFmtId="0" fontId="1" fillId="0" borderId="9" xfId="0" applyFont="1" applyBorder="1" applyAlignment="1">
      <alignment horizontal="justify" vertical="top" wrapText="1"/>
    </xf>
    <xf numFmtId="0" fontId="10" fillId="0" borderId="28" xfId="0" applyFont="1" applyBorder="1" applyAlignment="1">
      <alignment horizontal="center" vertical="top"/>
    </xf>
    <xf numFmtId="0" fontId="10" fillId="0" borderId="29" xfId="0" applyFont="1" applyBorder="1" applyAlignment="1">
      <alignment horizontal="center" vertical="top"/>
    </xf>
    <xf numFmtId="0" fontId="10" fillId="0" borderId="0" xfId="0" applyFont="1" applyAlignment="1">
      <alignment horizontal="left"/>
    </xf>
    <xf numFmtId="0" fontId="10" fillId="0" borderId="27" xfId="0" applyFont="1" applyBorder="1" applyAlignment="1">
      <alignment horizontal="center" vertical="top"/>
    </xf>
    <xf numFmtId="0" fontId="10" fillId="0" borderId="23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5" fillId="0" borderId="32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3" fontId="15" fillId="0" borderId="13" xfId="0" applyNumberFormat="1" applyFont="1" applyBorder="1" applyAlignment="1">
      <alignment horizontal="left" vertical="top" wrapText="1"/>
    </xf>
    <xf numFmtId="3" fontId="10" fillId="0" borderId="13" xfId="0" applyNumberFormat="1" applyFont="1" applyBorder="1" applyAlignment="1">
      <alignment horizontal="left" vertical="top" wrapText="1"/>
    </xf>
    <xf numFmtId="0" fontId="10" fillId="0" borderId="24" xfId="0" applyFont="1" applyBorder="1" applyAlignment="1">
      <alignment horizontal="center" vertical="top"/>
    </xf>
    <xf numFmtId="0" fontId="10" fillId="0" borderId="25" xfId="0" applyFont="1" applyBorder="1" applyAlignment="1">
      <alignment horizontal="center" vertical="top"/>
    </xf>
    <xf numFmtId="0" fontId="10" fillId="0" borderId="21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/>
    </xf>
    <xf numFmtId="0" fontId="15" fillId="0" borderId="23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0" fontId="10" fillId="0" borderId="30" xfId="0" applyFont="1" applyBorder="1" applyAlignment="1">
      <alignment horizontal="left" vertical="top"/>
    </xf>
    <xf numFmtId="0" fontId="10" fillId="0" borderId="2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vertical="top" wrapText="1"/>
    </xf>
    <xf numFmtId="0" fontId="1" fillId="0" borderId="15" xfId="0" applyFont="1" applyBorder="1" applyAlignment="1">
      <alignment horizontal="right" vertical="top" wrapText="1"/>
    </xf>
    <xf numFmtId="0" fontId="1" fillId="0" borderId="9" xfId="0" applyFont="1" applyBorder="1" applyAlignment="1">
      <alignment horizontal="right" vertical="top" wrapTex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 indent="1"/>
    </xf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0" borderId="20" xfId="2" applyFont="1" applyFill="1" applyBorder="1" applyAlignment="1">
      <alignment horizontal="left" vertical="top" wrapText="1"/>
    </xf>
    <xf numFmtId="0" fontId="12" fillId="0" borderId="17" xfId="2" applyFont="1" applyFill="1" applyBorder="1" applyAlignment="1">
      <alignment horizontal="left" vertical="top" wrapText="1"/>
    </xf>
    <xf numFmtId="0" fontId="12" fillId="0" borderId="25" xfId="0" applyFont="1" applyFill="1" applyBorder="1" applyAlignment="1">
      <alignment horizontal="left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4" borderId="11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left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10" borderId="20" xfId="3" applyFont="1" applyFill="1" applyBorder="1" applyAlignment="1">
      <alignment horizontal="left" vertical="center" wrapText="1"/>
    </xf>
    <xf numFmtId="0" fontId="12" fillId="10" borderId="17" xfId="3" applyFont="1" applyFill="1" applyBorder="1" applyAlignment="1">
      <alignment horizontal="left" vertical="center" wrapText="1"/>
    </xf>
    <xf numFmtId="0" fontId="12" fillId="10" borderId="11" xfId="0" applyFont="1" applyFill="1" applyBorder="1" applyAlignment="1">
      <alignment horizontal="center" vertical="center" wrapText="1"/>
    </xf>
    <xf numFmtId="0" fontId="12" fillId="10" borderId="12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7" borderId="11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left" vertical="center" wrapText="1"/>
    </xf>
    <xf numFmtId="0" fontId="10" fillId="7" borderId="12" xfId="0" applyFont="1" applyFill="1" applyBorder="1" applyAlignment="1">
      <alignment horizontal="left" vertical="center" wrapText="1"/>
    </xf>
    <xf numFmtId="0" fontId="10" fillId="5" borderId="1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left" vertical="center"/>
    </xf>
    <xf numFmtId="0" fontId="10" fillId="5" borderId="12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3" borderId="11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5" borderId="11" xfId="0" applyFont="1" applyFill="1" applyBorder="1" applyAlignment="1">
      <alignment horizontal="left" vertical="center" wrapText="1"/>
    </xf>
    <xf numFmtId="0" fontId="10" fillId="5" borderId="12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12" fillId="3" borderId="16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left" vertical="center" wrapText="1"/>
    </xf>
    <xf numFmtId="0" fontId="12" fillId="4" borderId="11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left" vertical="center" wrapText="1"/>
    </xf>
    <xf numFmtId="0" fontId="12" fillId="4" borderId="12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2" fillId="10" borderId="53" xfId="3" applyFont="1" applyFill="1" applyBorder="1" applyAlignment="1">
      <alignment horizontal="left" vertical="center" wrapText="1"/>
    </xf>
    <xf numFmtId="0" fontId="12" fillId="10" borderId="55" xfId="3" applyFont="1" applyFill="1" applyBorder="1" applyAlignment="1">
      <alignment horizontal="left" vertical="center" wrapText="1"/>
    </xf>
    <xf numFmtId="0" fontId="12" fillId="0" borderId="42" xfId="2" applyFont="1" applyFill="1" applyBorder="1" applyAlignment="1">
      <alignment horizontal="left" vertical="center" wrapText="1"/>
    </xf>
    <xf numFmtId="0" fontId="12" fillId="0" borderId="17" xfId="2" applyFont="1" applyFill="1" applyBorder="1" applyAlignment="1">
      <alignment horizontal="left" vertical="center" wrapText="1"/>
    </xf>
    <xf numFmtId="0" fontId="12" fillId="0" borderId="42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43" xfId="0" applyFont="1" applyFill="1" applyBorder="1" applyAlignment="1">
      <alignment horizontal="left" vertical="center" wrapText="1"/>
    </xf>
    <xf numFmtId="0" fontId="12" fillId="0" borderId="41" xfId="0" applyFont="1" applyFill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44" xfId="2" applyFont="1" applyFill="1" applyBorder="1" applyAlignment="1">
      <alignment horizontal="left" vertical="center" wrapText="1"/>
    </xf>
    <xf numFmtId="0" fontId="12" fillId="0" borderId="35" xfId="2" applyFont="1" applyFill="1" applyBorder="1" applyAlignment="1">
      <alignment horizontal="left" vertical="center" wrapText="1"/>
    </xf>
    <xf numFmtId="0" fontId="10" fillId="17" borderId="11" xfId="0" applyFont="1" applyFill="1" applyBorder="1" applyAlignment="1">
      <alignment horizontal="left" vertical="center" wrapText="1"/>
    </xf>
    <xf numFmtId="0" fontId="10" fillId="17" borderId="1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168" fontId="3" fillId="0" borderId="22" xfId="0" applyNumberFormat="1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168" fontId="1" fillId="0" borderId="30" xfId="0" applyNumberFormat="1" applyFont="1" applyBorder="1" applyAlignment="1">
      <alignment vertical="center"/>
    </xf>
    <xf numFmtId="168" fontId="3" fillId="0" borderId="30" xfId="0" applyNumberFormat="1" applyFont="1" applyBorder="1" applyAlignment="1">
      <alignment vertical="center"/>
    </xf>
    <xf numFmtId="0" fontId="1" fillId="0" borderId="36" xfId="0" applyFont="1" applyBorder="1" applyAlignment="1">
      <alignment horizontal="center" vertical="center"/>
    </xf>
    <xf numFmtId="168" fontId="3" fillId="0" borderId="46" xfId="0" applyNumberFormat="1" applyFont="1" applyBorder="1" applyAlignment="1">
      <alignment vertical="center"/>
    </xf>
    <xf numFmtId="168" fontId="1" fillId="0" borderId="22" xfId="0" applyNumberFormat="1" applyFont="1" applyBorder="1" applyAlignment="1">
      <alignment vertical="center"/>
    </xf>
    <xf numFmtId="0" fontId="13" fillId="0" borderId="23" xfId="0" applyFont="1" applyBorder="1" applyAlignment="1">
      <alignment horizontal="center" vertical="center"/>
    </xf>
    <xf numFmtId="168" fontId="13" fillId="0" borderId="30" xfId="0" applyNumberFormat="1" applyFont="1" applyBorder="1" applyAlignment="1">
      <alignment vertical="center"/>
    </xf>
    <xf numFmtId="168" fontId="1" fillId="0" borderId="30" xfId="0" applyNumberFormat="1" applyFont="1" applyBorder="1" applyAlignment="1">
      <alignment horizontal="right" vertical="center"/>
    </xf>
    <xf numFmtId="168" fontId="1" fillId="0" borderId="30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68" fontId="13" fillId="5" borderId="30" xfId="0" applyNumberFormat="1" applyFont="1" applyFill="1" applyBorder="1" applyAlignment="1">
      <alignment horizontal="center" vertical="center"/>
    </xf>
    <xf numFmtId="168" fontId="1" fillId="5" borderId="30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1" fillId="0" borderId="25" xfId="0" applyFont="1" applyBorder="1" applyAlignment="1">
      <alignment horizontal="right" vertical="center"/>
    </xf>
    <xf numFmtId="9" fontId="1" fillId="0" borderId="25" xfId="0" applyNumberFormat="1" applyFont="1" applyBorder="1" applyAlignment="1">
      <alignment horizontal="center" vertical="center"/>
    </xf>
    <xf numFmtId="3" fontId="1" fillId="0" borderId="25" xfId="0" applyNumberFormat="1" applyFont="1" applyBorder="1" applyAlignment="1">
      <alignment horizontal="right" vertical="center"/>
    </xf>
    <xf numFmtId="168" fontId="1" fillId="0" borderId="25" xfId="0" applyNumberFormat="1" applyFont="1" applyBorder="1" applyAlignment="1">
      <alignment vertical="center"/>
    </xf>
    <xf numFmtId="168" fontId="1" fillId="0" borderId="31" xfId="0" applyNumberFormat="1" applyFont="1" applyBorder="1" applyAlignment="1">
      <alignment vertical="center"/>
    </xf>
    <xf numFmtId="3" fontId="1" fillId="5" borderId="41" xfId="0" applyNumberFormat="1" applyFont="1" applyFill="1" applyBorder="1" applyAlignment="1">
      <alignment horizontal="right" vertical="center"/>
    </xf>
  </cellXfs>
  <cellStyles count="5">
    <cellStyle name="Comma" xfId="1" builtinId="3"/>
    <cellStyle name="Currency" xfId="4" builtinId="4"/>
    <cellStyle name="Normal" xfId="0" builtinId="0"/>
    <cellStyle name="Normal_BVC sint. v.23.01.2013" xfId="2"/>
    <cellStyle name="Normal_Copy of Copy of BVC analitic" xfId="3"/>
  </cellStyles>
  <dxfs count="0"/>
  <tableStyles count="0" defaultTableStyle="TableStyleMedium2" defaultPivotStyle="PivotStyleLight16"/>
  <colors>
    <mruColors>
      <color rgb="FFF0FC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.caltun/Documents/BVC/2014/sit.primite/UIP/Anexa%208.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imisoara/UIP/Anexa7%20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UCURSALE/primite-prelucrate/DETA-BVC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8 mii lei"/>
      <sheetName val="anexa 8"/>
      <sheetName val="anexa 7 mii lei"/>
      <sheetName val="anexa 7"/>
    </sheetNames>
    <sheetDataSet>
      <sheetData sheetId="0" refreshError="1"/>
      <sheetData sheetId="1">
        <row r="28">
          <cell r="C28">
            <v>51162624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7 mii lei"/>
      <sheetName val="anexa 7"/>
    </sheetNames>
    <sheetDataSet>
      <sheetData sheetId="0"/>
      <sheetData sheetId="1">
        <row r="39">
          <cell r="S39">
            <v>0</v>
          </cell>
          <cell r="T39">
            <v>0</v>
          </cell>
        </row>
        <row r="40">
          <cell r="S40">
            <v>0</v>
          </cell>
          <cell r="T40">
            <v>0</v>
          </cell>
        </row>
        <row r="41">
          <cell r="S41">
            <v>0</v>
          </cell>
          <cell r="T41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4"/>
      <sheetName val="VENIT.APA-CANAL"/>
      <sheetName val="VENITURI-total"/>
      <sheetName val="tichete "/>
      <sheetName val="salarii "/>
    </sheetNames>
    <sheetDataSet>
      <sheetData sheetId="0" refreshError="1"/>
      <sheetData sheetId="1" refreshError="1"/>
      <sheetData sheetId="2">
        <row r="22">
          <cell r="C22">
            <v>1381.9319999999998</v>
          </cell>
          <cell r="E22">
            <v>1996.9829999999997</v>
          </cell>
          <cell r="F22">
            <v>2698.4520000000002</v>
          </cell>
          <cell r="H22">
            <v>80000</v>
          </cell>
          <cell r="I22">
            <v>6235.7459999999992</v>
          </cell>
          <cell r="L22">
            <v>156.85200000000003</v>
          </cell>
          <cell r="P22">
            <v>4.1760000000000002</v>
          </cell>
        </row>
        <row r="26">
          <cell r="C26">
            <v>1381.9319999999998</v>
          </cell>
          <cell r="E26">
            <v>1996.9829999999997</v>
          </cell>
          <cell r="F26">
            <v>2698.4520000000002</v>
          </cell>
          <cell r="I26">
            <v>6235.7459999999992</v>
          </cell>
          <cell r="L26">
            <v>156.85200000000003</v>
          </cell>
          <cell r="P26">
            <v>4.1760000000000002</v>
          </cell>
        </row>
        <row r="30">
          <cell r="C30">
            <v>1381.9319999999998</v>
          </cell>
          <cell r="E30">
            <v>1996.9829999999997</v>
          </cell>
          <cell r="F30">
            <v>2698.4520000000002</v>
          </cell>
          <cell r="I30">
            <v>6235.7459999999992</v>
          </cell>
          <cell r="L30">
            <v>156.85200000000003</v>
          </cell>
          <cell r="P30">
            <v>4.1760000000000002</v>
          </cell>
        </row>
        <row r="34">
          <cell r="C34">
            <v>1381.9319999999998</v>
          </cell>
          <cell r="E34">
            <v>1996.9829999999997</v>
          </cell>
          <cell r="F34">
            <v>2698.4520000000002</v>
          </cell>
          <cell r="I34">
            <v>6235.7459999999992</v>
          </cell>
          <cell r="L34">
            <v>156.85200000000003</v>
          </cell>
          <cell r="P34">
            <v>4.1760000000000002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workbookViewId="0">
      <selection activeCell="D169" sqref="D169"/>
    </sheetView>
  </sheetViews>
  <sheetFormatPr defaultRowHeight="12.75" x14ac:dyDescent="0.2"/>
  <cols>
    <col min="1" max="1" width="5.5703125" style="55" customWidth="1"/>
    <col min="2" max="2" width="3.7109375" style="55" customWidth="1"/>
    <col min="3" max="3" width="4.5703125" style="55" customWidth="1"/>
    <col min="4" max="4" width="5.28515625" style="55" customWidth="1"/>
    <col min="5" max="5" width="36.5703125" style="753" customWidth="1"/>
    <col min="6" max="6" width="6.28515625" style="55" customWidth="1"/>
    <col min="7" max="7" width="10.140625" style="55" customWidth="1"/>
    <col min="8" max="8" width="9.28515625" style="55" hidden="1" customWidth="1"/>
    <col min="9" max="10" width="0" style="55" hidden="1" customWidth="1"/>
    <col min="11" max="11" width="9.42578125" style="55" hidden="1" customWidth="1"/>
    <col min="12" max="12" width="9.140625" style="55" hidden="1" customWidth="1"/>
    <col min="13" max="13" width="10" style="55" hidden="1" customWidth="1"/>
    <col min="14" max="14" width="9.140625" style="55" customWidth="1"/>
    <col min="15" max="15" width="8.7109375" style="55" customWidth="1"/>
    <col min="16" max="17" width="9.140625" style="55" customWidth="1"/>
    <col min="18" max="16384" width="9.140625" style="55"/>
  </cols>
  <sheetData>
    <row r="1" spans="1:15" x14ac:dyDescent="0.2">
      <c r="A1" s="820" t="s">
        <v>0</v>
      </c>
      <c r="B1" s="820"/>
      <c r="C1" s="820"/>
      <c r="D1" s="820"/>
    </row>
    <row r="2" spans="1:15" x14ac:dyDescent="0.2">
      <c r="A2" s="820" t="s">
        <v>1</v>
      </c>
      <c r="B2" s="820"/>
      <c r="C2" s="820"/>
      <c r="D2" s="820"/>
      <c r="I2" s="154" t="s">
        <v>526</v>
      </c>
    </row>
    <row r="3" spans="1:15" x14ac:dyDescent="0.2">
      <c r="A3" s="820" t="s">
        <v>2</v>
      </c>
      <c r="B3" s="820"/>
      <c r="C3" s="820"/>
      <c r="D3" s="820"/>
    </row>
    <row r="4" spans="1:15" ht="15.75" x14ac:dyDescent="0.25">
      <c r="A4" s="753"/>
      <c r="B4" s="753"/>
      <c r="C4" s="753"/>
      <c r="E4" s="237" t="s">
        <v>522</v>
      </c>
      <c r="F4" s="238"/>
      <c r="G4" s="238"/>
      <c r="H4" s="155"/>
      <c r="I4" s="155"/>
      <c r="J4" s="155"/>
    </row>
    <row r="5" spans="1:15" ht="15.75" x14ac:dyDescent="0.25">
      <c r="A5" s="753"/>
      <c r="B5" s="753"/>
      <c r="C5" s="753"/>
      <c r="D5" s="155"/>
      <c r="E5" s="239" t="s">
        <v>668</v>
      </c>
      <c r="F5" s="238"/>
      <c r="G5" s="238"/>
      <c r="H5" s="155"/>
      <c r="I5" s="155"/>
    </row>
    <row r="6" spans="1:15" x14ac:dyDescent="0.2">
      <c r="A6" s="753"/>
      <c r="B6" s="753"/>
      <c r="C6" s="753"/>
      <c r="D6" s="155"/>
      <c r="F6" s="155"/>
      <c r="G6" s="155"/>
      <c r="H6" s="155"/>
      <c r="I6" s="155"/>
    </row>
    <row r="7" spans="1:15" ht="13.5" thickBot="1" x14ac:dyDescent="0.25">
      <c r="A7" s="753"/>
      <c r="B7" s="753"/>
      <c r="C7" s="753"/>
      <c r="D7" s="155"/>
      <c r="F7" s="155"/>
      <c r="G7" s="155"/>
      <c r="H7" s="155"/>
      <c r="I7" s="155"/>
      <c r="J7" s="55" t="s">
        <v>391</v>
      </c>
    </row>
    <row r="8" spans="1:15" ht="53.25" customHeight="1" thickBot="1" x14ac:dyDescent="0.25">
      <c r="A8" s="821" t="s">
        <v>308</v>
      </c>
      <c r="B8" s="822"/>
      <c r="C8" s="754"/>
      <c r="D8" s="243"/>
      <c r="E8" s="243" t="s">
        <v>15</v>
      </c>
      <c r="F8" s="243" t="s">
        <v>309</v>
      </c>
      <c r="G8" s="86" t="s">
        <v>693</v>
      </c>
      <c r="H8" s="156" t="s">
        <v>310</v>
      </c>
      <c r="I8" s="156" t="s">
        <v>311</v>
      </c>
      <c r="J8" s="156" t="s">
        <v>312</v>
      </c>
      <c r="K8" s="156" t="s">
        <v>313</v>
      </c>
      <c r="L8" s="549" t="s">
        <v>658</v>
      </c>
      <c r="M8" s="503" t="s">
        <v>660</v>
      </c>
      <c r="N8" s="757" t="s">
        <v>692</v>
      </c>
      <c r="O8" s="744" t="s">
        <v>689</v>
      </c>
    </row>
    <row r="9" spans="1:15" ht="13.5" thickBot="1" x14ac:dyDescent="0.25">
      <c r="A9" s="248" t="s">
        <v>30</v>
      </c>
      <c r="B9" s="248"/>
      <c r="C9" s="248"/>
      <c r="D9" s="248"/>
      <c r="E9" s="249" t="s">
        <v>4</v>
      </c>
      <c r="F9" s="156" t="s">
        <v>314</v>
      </c>
      <c r="G9" s="156" t="s">
        <v>21</v>
      </c>
      <c r="H9" s="156" t="s">
        <v>17</v>
      </c>
      <c r="I9" s="156" t="s">
        <v>18</v>
      </c>
      <c r="J9" s="156" t="s">
        <v>24</v>
      </c>
      <c r="K9" s="156" t="s">
        <v>19</v>
      </c>
      <c r="L9" s="550">
        <v>7</v>
      </c>
      <c r="M9" s="502">
        <v>8</v>
      </c>
      <c r="N9" s="502">
        <v>9</v>
      </c>
      <c r="O9" s="502">
        <v>10</v>
      </c>
    </row>
    <row r="10" spans="1:15" s="157" customFormat="1" ht="17.25" hidden="1" customHeight="1" thickBot="1" x14ac:dyDescent="0.25">
      <c r="A10" s="214" t="s">
        <v>215</v>
      </c>
      <c r="B10" s="823" t="s">
        <v>462</v>
      </c>
      <c r="C10" s="824"/>
      <c r="D10" s="824"/>
      <c r="E10" s="825"/>
      <c r="F10" s="214" t="s">
        <v>4</v>
      </c>
      <c r="G10" s="217">
        <f>'anexa 4 lei'!G10/'anexa 4 lei'!$K$4</f>
        <v>138839.55376400001</v>
      </c>
      <c r="H10" s="217">
        <f>'anexa 4 lei'!H10/'anexa 4 lei'!$K$4</f>
        <v>32662.687360999997</v>
      </c>
      <c r="I10" s="217">
        <f>'anexa 4 lei'!I10/'anexa 4 lei'!$K$4</f>
        <v>35347.244900999998</v>
      </c>
      <c r="J10" s="217">
        <f>'anexa 4 lei'!J10/'anexa 4 lei'!$K$4</f>
        <v>35642.488180999993</v>
      </c>
      <c r="K10" s="217">
        <f>'anexa 4 lei'!K10/'anexa 4 lei'!$K$4</f>
        <v>35187.133320999994</v>
      </c>
      <c r="L10" s="743">
        <f>'anexa 4 lei'!L10/'anexa 4 lei'!$K$4</f>
        <v>142405.579</v>
      </c>
      <c r="M10" s="220">
        <f>'anexa 4 lei'!M10/'anexa 4 lei'!$K$4</f>
        <v>141302.16882333334</v>
      </c>
      <c r="N10" s="742">
        <f>'anexa 4 lei'!N10/'anexa 4 lei'!$K$4</f>
        <v>138839.55376400001</v>
      </c>
      <c r="O10" s="547">
        <f>'anexa 4 lei'!O10/'anexa 4 lei'!$K$4</f>
        <v>0</v>
      </c>
    </row>
    <row r="11" spans="1:15" ht="21.75" hidden="1" customHeight="1" x14ac:dyDescent="0.2">
      <c r="A11" s="826"/>
      <c r="B11" s="215" t="s">
        <v>4</v>
      </c>
      <c r="C11" s="827" t="s">
        <v>113</v>
      </c>
      <c r="D11" s="827"/>
      <c r="E11" s="827"/>
      <c r="F11" s="756">
        <f>F10+1</f>
        <v>2</v>
      </c>
      <c r="G11" s="216">
        <f>'anexa 4 lei'!G11/'anexa 4 lei'!$K$4</f>
        <v>137889.49609</v>
      </c>
      <c r="H11" s="216">
        <f>'anexa 4 lei'!H11/'anexa 4 lei'!$K$4</f>
        <v>32362.674555000001</v>
      </c>
      <c r="I11" s="216">
        <f>'anexa 4 lei'!I11/'anexa 4 lei'!$K$4</f>
        <v>35097.230835000002</v>
      </c>
      <c r="J11" s="216">
        <f>'anexa 4 lei'!J11/'anexa 4 lei'!$K$4</f>
        <v>35442.472554999993</v>
      </c>
      <c r="K11" s="558">
        <f>'anexa 4 lei'!K11/'anexa 4 lei'!$K$4</f>
        <v>34987.118144999993</v>
      </c>
      <c r="L11" s="554">
        <f>'anexa 4 lei'!L11/'anexa 4 lei'!$K$4</f>
        <v>140617.53400000001</v>
      </c>
      <c r="M11" s="216">
        <f>'anexa 4 lei'!M11/'anexa 4 lei'!$K$4</f>
        <v>139716.98451333336</v>
      </c>
      <c r="N11" s="216">
        <f>'anexa 4 lei'!N11/'anexa 4 lei'!$K$4</f>
        <v>137889.49609</v>
      </c>
      <c r="O11" s="216">
        <f>'anexa 4 lei'!O11/'anexa 4 lei'!$K$4</f>
        <v>0</v>
      </c>
    </row>
    <row r="12" spans="1:15" ht="30" hidden="1" customHeight="1" x14ac:dyDescent="0.2">
      <c r="A12" s="826"/>
      <c r="B12" s="828"/>
      <c r="C12" s="749" t="s">
        <v>27</v>
      </c>
      <c r="D12" s="829" t="s">
        <v>315</v>
      </c>
      <c r="E12" s="829"/>
      <c r="F12" s="749">
        <f t="shared" ref="F12:F75" si="0">F11+1</f>
        <v>3</v>
      </c>
      <c r="G12" s="187">
        <f>'anexa 4 lei'!G12/'anexa 4 lei'!$K$4</f>
        <v>134459.08855799999</v>
      </c>
      <c r="H12" s="187">
        <f>'anexa 4 lei'!H12/'anexa 4 lei'!$K$4</f>
        <v>31857.808556999997</v>
      </c>
      <c r="I12" s="187">
        <f>'anexa 4 lei'!I12/'anexa 4 lei'!$K$4</f>
        <v>34202.287296999995</v>
      </c>
      <c r="J12" s="187">
        <f>'anexa 4 lei'!J12/'anexa 4 lei'!$K$4</f>
        <v>34519.212156999994</v>
      </c>
      <c r="K12" s="555">
        <f>'anexa 4 lei'!K12/'anexa 4 lei'!$K$4</f>
        <v>33879.780546999995</v>
      </c>
      <c r="L12" s="551">
        <f>'anexa 4 lei'!L12/'anexa 4 lei'!$K$4</f>
        <v>135360.508</v>
      </c>
      <c r="M12" s="187">
        <f>'anexa 4 lei'!M12/'anexa 4 lei'!$K$4</f>
        <v>135314.41500000001</v>
      </c>
      <c r="N12" s="187">
        <f>'anexa 4 lei'!N12/'anexa 4 lei'!$K$4</f>
        <v>134459.08855799999</v>
      </c>
      <c r="O12" s="187">
        <f>'anexa 4 lei'!O12/'anexa 4 lei'!$K$4</f>
        <v>0</v>
      </c>
    </row>
    <row r="13" spans="1:15" hidden="1" x14ac:dyDescent="0.2">
      <c r="A13" s="826"/>
      <c r="B13" s="828"/>
      <c r="C13" s="749"/>
      <c r="D13" s="749" t="s">
        <v>237</v>
      </c>
      <c r="E13" s="750" t="s">
        <v>316</v>
      </c>
      <c r="F13" s="749">
        <f t="shared" si="0"/>
        <v>4</v>
      </c>
      <c r="G13" s="187">
        <f>'anexa 4 lei'!G13/'anexa 4 lei'!$K$4</f>
        <v>0</v>
      </c>
      <c r="H13" s="187">
        <f>'anexa 4 lei'!H13/'anexa 4 lei'!$K$4</f>
        <v>0</v>
      </c>
      <c r="I13" s="187">
        <f>'anexa 4 lei'!I13/'anexa 4 lei'!$K$4</f>
        <v>0</v>
      </c>
      <c r="J13" s="187">
        <f>'anexa 4 lei'!J13/'anexa 4 lei'!$K$4</f>
        <v>0</v>
      </c>
      <c r="K13" s="555">
        <f>'anexa 4 lei'!K13/'anexa 4 lei'!$K$4</f>
        <v>0</v>
      </c>
      <c r="L13" s="551">
        <f>'anexa 4 lei'!L13/'anexa 4 lei'!$K$4</f>
        <v>0</v>
      </c>
      <c r="M13" s="187">
        <f>'anexa 4 lei'!M13/'anexa 4 lei'!$K$4</f>
        <v>0</v>
      </c>
      <c r="N13" s="187">
        <f>'anexa 4 lei'!N13/'anexa 4 lei'!$K$4</f>
        <v>0</v>
      </c>
      <c r="O13" s="187">
        <f>'anexa 4 lei'!O13/'anexa 4 lei'!$K$4</f>
        <v>0</v>
      </c>
    </row>
    <row r="14" spans="1:15" hidden="1" x14ac:dyDescent="0.2">
      <c r="A14" s="826"/>
      <c r="B14" s="828"/>
      <c r="C14" s="749"/>
      <c r="D14" s="749" t="s">
        <v>66</v>
      </c>
      <c r="E14" s="750" t="s">
        <v>317</v>
      </c>
      <c r="F14" s="749">
        <f t="shared" si="0"/>
        <v>5</v>
      </c>
      <c r="G14" s="187">
        <f>'anexa 4 lei'!G14/'anexa 4 lei'!$K$4</f>
        <v>134155.59914800001</v>
      </c>
      <c r="H14" s="187">
        <f>'anexa 4 lei'!H14/'anexa 4 lei'!$K$4</f>
        <v>31794.722261999999</v>
      </c>
      <c r="I14" s="187">
        <f>'anexa 4 lei'!I14/'anexa 4 lei'!$K$4</f>
        <v>34119.184692000003</v>
      </c>
      <c r="J14" s="187">
        <f>'anexa 4 lei'!J14/'anexa 4 lei'!$K$4</f>
        <v>34435.523082</v>
      </c>
      <c r="K14" s="555">
        <f>'anexa 4 lei'!K14/'anexa 4 lei'!$K$4</f>
        <v>33806.169112000003</v>
      </c>
      <c r="L14" s="551">
        <f>'anexa 4 lei'!L14/'anexa 4 lei'!$K$4</f>
        <v>134955.967</v>
      </c>
      <c r="M14" s="187">
        <f>'anexa 4 lei'!M14/'anexa 4 lei'!$K$4</f>
        <v>135015.554</v>
      </c>
      <c r="N14" s="187">
        <f>'anexa 4 lei'!N14/'anexa 4 lei'!$K$4</f>
        <v>134155.59914800001</v>
      </c>
      <c r="O14" s="187">
        <f>'anexa 4 lei'!O14/'anexa 4 lei'!$K$4</f>
        <v>0</v>
      </c>
    </row>
    <row r="15" spans="1:15" hidden="1" x14ac:dyDescent="0.2">
      <c r="A15" s="826"/>
      <c r="B15" s="828"/>
      <c r="C15" s="749"/>
      <c r="D15" s="749" t="s">
        <v>318</v>
      </c>
      <c r="E15" s="750" t="s">
        <v>319</v>
      </c>
      <c r="F15" s="749">
        <f t="shared" si="0"/>
        <v>6</v>
      </c>
      <c r="G15" s="187">
        <f>'anexa 4 lei'!G15/'anexa 4 lei'!$K$4</f>
        <v>75.980931999999996</v>
      </c>
      <c r="H15" s="187">
        <f>'anexa 4 lei'!H15/'anexa 4 lei'!$K$4</f>
        <v>19.014983000000001</v>
      </c>
      <c r="I15" s="187">
        <f>'anexa 4 lei'!I15/'anexa 4 lei'!$K$4</f>
        <v>18.984983</v>
      </c>
      <c r="J15" s="187">
        <f>'anexa 4 lei'!J15/'anexa 4 lei'!$K$4</f>
        <v>18.985983000000001</v>
      </c>
      <c r="K15" s="555">
        <f>'anexa 4 lei'!K15/'anexa 4 lei'!$K$4</f>
        <v>18.994983000000001</v>
      </c>
      <c r="L15" s="551">
        <f>'anexa 4 lei'!L15/'anexa 4 lei'!$K$4</f>
        <v>83.703000000000003</v>
      </c>
      <c r="M15" s="187">
        <f>'anexa 4 lei'!M15/'anexa 4 lei'!$K$4</f>
        <v>82.013999999999996</v>
      </c>
      <c r="N15" s="187">
        <f>'anexa 4 lei'!N15/'anexa 4 lei'!$K$4</f>
        <v>75.980931999999996</v>
      </c>
      <c r="O15" s="187">
        <f>'anexa 4 lei'!O15/'anexa 4 lei'!$K$4</f>
        <v>0</v>
      </c>
    </row>
    <row r="16" spans="1:15" hidden="1" x14ac:dyDescent="0.2">
      <c r="A16" s="826"/>
      <c r="B16" s="828"/>
      <c r="C16" s="749"/>
      <c r="D16" s="749" t="s">
        <v>320</v>
      </c>
      <c r="E16" s="750" t="s">
        <v>321</v>
      </c>
      <c r="F16" s="749">
        <f t="shared" si="0"/>
        <v>7</v>
      </c>
      <c r="G16" s="187">
        <f>'anexa 4 lei'!G16/'anexa 4 lei'!$K$4</f>
        <v>227.508478</v>
      </c>
      <c r="H16" s="187">
        <f>'anexa 4 lei'!H16/'anexa 4 lei'!$K$4</f>
        <v>44.071311999999999</v>
      </c>
      <c r="I16" s="187">
        <f>'anexa 4 lei'!I16/'anexa 4 lei'!$K$4</f>
        <v>64.117621999999997</v>
      </c>
      <c r="J16" s="187">
        <f>'anexa 4 lei'!J16/'anexa 4 lei'!$K$4</f>
        <v>64.703091999999998</v>
      </c>
      <c r="K16" s="555">
        <f>'anexa 4 lei'!K16/'anexa 4 lei'!$K$4</f>
        <v>54.616451999999995</v>
      </c>
      <c r="L16" s="551">
        <f>'anexa 4 lei'!L16/'anexa 4 lei'!$K$4</f>
        <v>320.83800000000002</v>
      </c>
      <c r="M16" s="187">
        <f>'anexa 4 lei'!M16/'anexa 4 lei'!$K$4</f>
        <v>216.84700000000001</v>
      </c>
      <c r="N16" s="187">
        <f>'anexa 4 lei'!N16/'anexa 4 lei'!$K$4</f>
        <v>227.508478</v>
      </c>
      <c r="O16" s="187">
        <f>'anexa 4 lei'!O16/'anexa 4 lei'!$K$4</f>
        <v>0</v>
      </c>
    </row>
    <row r="17" spans="1:15" hidden="1" x14ac:dyDescent="0.2">
      <c r="A17" s="826"/>
      <c r="B17" s="828"/>
      <c r="C17" s="749" t="s">
        <v>38</v>
      </c>
      <c r="D17" s="830" t="s">
        <v>322</v>
      </c>
      <c r="E17" s="830"/>
      <c r="F17" s="749">
        <f t="shared" si="0"/>
        <v>8</v>
      </c>
      <c r="G17" s="187">
        <f>'anexa 4 lei'!G17/'anexa 4 lei'!$K$4</f>
        <v>0</v>
      </c>
      <c r="H17" s="187">
        <f>'anexa 4 lei'!H17/'anexa 4 lei'!$K$4</f>
        <v>0</v>
      </c>
      <c r="I17" s="187">
        <f>'anexa 4 lei'!I17/'anexa 4 lei'!$K$4</f>
        <v>0</v>
      </c>
      <c r="J17" s="187">
        <f>'anexa 4 lei'!J17/'anexa 4 lei'!$K$4</f>
        <v>0</v>
      </c>
      <c r="K17" s="555">
        <f>'anexa 4 lei'!K17/'anexa 4 lei'!$K$4</f>
        <v>0</v>
      </c>
      <c r="L17" s="551">
        <f>'anexa 4 lei'!L17/'anexa 4 lei'!$K$4</f>
        <v>0</v>
      </c>
      <c r="M17" s="187">
        <f>'anexa 4 lei'!M17/'anexa 4 lei'!$K$4</f>
        <v>0</v>
      </c>
      <c r="N17" s="187">
        <f>'anexa 4 lei'!N17/'anexa 4 lei'!$K$4</f>
        <v>0</v>
      </c>
      <c r="O17" s="187">
        <f>'anexa 4 lei'!O17/'anexa 4 lei'!$K$4</f>
        <v>0</v>
      </c>
    </row>
    <row r="18" spans="1:15" ht="46.5" hidden="1" customHeight="1" x14ac:dyDescent="0.2">
      <c r="A18" s="826"/>
      <c r="B18" s="828"/>
      <c r="C18" s="749" t="s">
        <v>40</v>
      </c>
      <c r="D18" s="829" t="s">
        <v>323</v>
      </c>
      <c r="E18" s="829"/>
      <c r="F18" s="749">
        <f t="shared" si="0"/>
        <v>9</v>
      </c>
      <c r="G18" s="187">
        <f>'anexa 4 lei'!G18/'anexa 4 lei'!$K$4</f>
        <v>0</v>
      </c>
      <c r="H18" s="187">
        <f>'anexa 4 lei'!H18/'anexa 4 lei'!$K$4</f>
        <v>0</v>
      </c>
      <c r="I18" s="187">
        <f>'anexa 4 lei'!I18/'anexa 4 lei'!$K$4</f>
        <v>0</v>
      </c>
      <c r="J18" s="187">
        <f>'anexa 4 lei'!J18/'anexa 4 lei'!$K$4</f>
        <v>0</v>
      </c>
      <c r="K18" s="555">
        <f>'anexa 4 lei'!K18/'anexa 4 lei'!$K$4</f>
        <v>0</v>
      </c>
      <c r="L18" s="551">
        <f>'anexa 4 lei'!L18/'anexa 4 lei'!$K$4</f>
        <v>0</v>
      </c>
      <c r="M18" s="187">
        <f>'anexa 4 lei'!M18/'anexa 4 lei'!$K$4</f>
        <v>0</v>
      </c>
      <c r="N18" s="187">
        <f>'anexa 4 lei'!N18/'anexa 4 lei'!$K$4</f>
        <v>0</v>
      </c>
      <c r="O18" s="187">
        <f>'anexa 4 lei'!O18/'anexa 4 lei'!$K$4</f>
        <v>0</v>
      </c>
    </row>
    <row r="19" spans="1:15" hidden="1" x14ac:dyDescent="0.2">
      <c r="A19" s="826"/>
      <c r="B19" s="828"/>
      <c r="C19" s="831"/>
      <c r="D19" s="749" t="s">
        <v>324</v>
      </c>
      <c r="E19" s="750" t="s">
        <v>325</v>
      </c>
      <c r="F19" s="749">
        <f t="shared" si="0"/>
        <v>10</v>
      </c>
      <c r="G19" s="187">
        <f>'anexa 4 lei'!G19/'anexa 4 lei'!$K$4</f>
        <v>0</v>
      </c>
      <c r="H19" s="187">
        <f>'anexa 4 lei'!H19/'anexa 4 lei'!$K$4</f>
        <v>0</v>
      </c>
      <c r="I19" s="187">
        <f>'anexa 4 lei'!I19/'anexa 4 lei'!$K$4</f>
        <v>0</v>
      </c>
      <c r="J19" s="187">
        <f>'anexa 4 lei'!J19/'anexa 4 lei'!$K$4</f>
        <v>0</v>
      </c>
      <c r="K19" s="555">
        <f>'anexa 4 lei'!K19/'anexa 4 lei'!$K$4</f>
        <v>0</v>
      </c>
      <c r="L19" s="551">
        <f>'anexa 4 lei'!L19/'anexa 4 lei'!$K$4</f>
        <v>0</v>
      </c>
      <c r="M19" s="187">
        <f>'anexa 4 lei'!M19/'anexa 4 lei'!$K$4</f>
        <v>0</v>
      </c>
      <c r="N19" s="187">
        <f>'anexa 4 lei'!N19/'anexa 4 lei'!$K$4</f>
        <v>0</v>
      </c>
      <c r="O19" s="187">
        <f>'anexa 4 lei'!O19/'anexa 4 lei'!$K$4</f>
        <v>0</v>
      </c>
    </row>
    <row r="20" spans="1:15" hidden="1" x14ac:dyDescent="0.2">
      <c r="A20" s="826"/>
      <c r="B20" s="828"/>
      <c r="C20" s="831"/>
      <c r="D20" s="749" t="s">
        <v>67</v>
      </c>
      <c r="E20" s="750" t="s">
        <v>32</v>
      </c>
      <c r="F20" s="749">
        <f t="shared" si="0"/>
        <v>11</v>
      </c>
      <c r="G20" s="187">
        <f>'anexa 4 lei'!G20/'anexa 4 lei'!$K$4</f>
        <v>0</v>
      </c>
      <c r="H20" s="187">
        <f>'anexa 4 lei'!H20/'anexa 4 lei'!$K$4</f>
        <v>0</v>
      </c>
      <c r="I20" s="187">
        <f>'anexa 4 lei'!I20/'anexa 4 lei'!$K$4</f>
        <v>0</v>
      </c>
      <c r="J20" s="187">
        <f>'anexa 4 lei'!J20/'anexa 4 lei'!$K$4</f>
        <v>0</v>
      </c>
      <c r="K20" s="555">
        <f>'anexa 4 lei'!K20/'anexa 4 lei'!$K$4</f>
        <v>0</v>
      </c>
      <c r="L20" s="551">
        <f>'anexa 4 lei'!L20/'anexa 4 lei'!$K$4</f>
        <v>0</v>
      </c>
      <c r="M20" s="187">
        <f>'anexa 4 lei'!M20/'anexa 4 lei'!$K$4</f>
        <v>0</v>
      </c>
      <c r="N20" s="187">
        <f>'anexa 4 lei'!N20/'anexa 4 lei'!$K$4</f>
        <v>0</v>
      </c>
      <c r="O20" s="187">
        <f>'anexa 4 lei'!O20/'anexa 4 lei'!$K$4</f>
        <v>0</v>
      </c>
    </row>
    <row r="21" spans="1:15" hidden="1" x14ac:dyDescent="0.2">
      <c r="A21" s="826"/>
      <c r="B21" s="828"/>
      <c r="C21" s="749" t="s">
        <v>42</v>
      </c>
      <c r="D21" s="830" t="s">
        <v>326</v>
      </c>
      <c r="E21" s="830"/>
      <c r="F21" s="749">
        <f t="shared" si="0"/>
        <v>12</v>
      </c>
      <c r="G21" s="187">
        <f>'anexa 4 lei'!G21/'anexa 4 lei'!$K$4</f>
        <v>2103.8000000000002</v>
      </c>
      <c r="H21" s="187">
        <f>'anexa 4 lei'!H21/'anexa 4 lei'!$K$4</f>
        <v>183.4</v>
      </c>
      <c r="I21" s="187">
        <f>'anexa 4 lei'!I21/'anexa 4 lei'!$K$4</f>
        <v>554.4</v>
      </c>
      <c r="J21" s="187">
        <f>'anexa 4 lei'!J21/'anexa 4 lei'!$K$4</f>
        <v>581.5</v>
      </c>
      <c r="K21" s="555">
        <f>'anexa 4 lei'!K21/'anexa 4 lei'!$K$4</f>
        <v>784.5</v>
      </c>
      <c r="L21" s="551">
        <f>'anexa 4 lei'!L21/'anexa 4 lei'!$K$4</f>
        <v>2116.3739999999998</v>
      </c>
      <c r="M21" s="187">
        <f>'anexa 4 lei'!M21/'anexa 4 lei'!$K$4</f>
        <v>1765.8333333333335</v>
      </c>
      <c r="N21" s="187">
        <f>'anexa 4 lei'!N21/'anexa 4 lei'!$K$4</f>
        <v>2103.8000000000002</v>
      </c>
      <c r="O21" s="187">
        <f>'anexa 4 lei'!O21/'anexa 4 lei'!$K$4</f>
        <v>0</v>
      </c>
    </row>
    <row r="22" spans="1:15" ht="30" hidden="1" customHeight="1" x14ac:dyDescent="0.2">
      <c r="A22" s="826"/>
      <c r="B22" s="828"/>
      <c r="C22" s="749" t="s">
        <v>28</v>
      </c>
      <c r="D22" s="829" t="s">
        <v>327</v>
      </c>
      <c r="E22" s="829"/>
      <c r="F22" s="749">
        <f t="shared" si="0"/>
        <v>13</v>
      </c>
      <c r="G22" s="187">
        <f>'anexa 4 lei'!G22/'anexa 4 lei'!$K$4</f>
        <v>0</v>
      </c>
      <c r="H22" s="187">
        <f>'anexa 4 lei'!H22/'anexa 4 lei'!$K$4</f>
        <v>0</v>
      </c>
      <c r="I22" s="187">
        <f>'anexa 4 lei'!I22/'anexa 4 lei'!$K$4</f>
        <v>0</v>
      </c>
      <c r="J22" s="187">
        <f>'anexa 4 lei'!J22/'anexa 4 lei'!$K$4</f>
        <v>0</v>
      </c>
      <c r="K22" s="555">
        <f>'anexa 4 lei'!K22/'anexa 4 lei'!$K$4</f>
        <v>0</v>
      </c>
      <c r="L22" s="551">
        <f>'anexa 4 lei'!L22/'anexa 4 lei'!$K$4</f>
        <v>0</v>
      </c>
      <c r="M22" s="187">
        <f>'anexa 4 lei'!M22/'anexa 4 lei'!$K$4</f>
        <v>0</v>
      </c>
      <c r="N22" s="187">
        <f>'anexa 4 lei'!N22/'anexa 4 lei'!$K$4</f>
        <v>0</v>
      </c>
      <c r="O22" s="187">
        <f>'anexa 4 lei'!O22/'anexa 4 lei'!$K$4</f>
        <v>0</v>
      </c>
    </row>
    <row r="23" spans="1:15" ht="13.5" hidden="1" customHeight="1" x14ac:dyDescent="0.2">
      <c r="A23" s="826"/>
      <c r="B23" s="748"/>
      <c r="C23" s="749" t="s">
        <v>34</v>
      </c>
      <c r="D23" s="829" t="s">
        <v>328</v>
      </c>
      <c r="E23" s="829"/>
      <c r="F23" s="749">
        <f t="shared" si="0"/>
        <v>14</v>
      </c>
      <c r="G23" s="187">
        <f>'anexa 4 lei'!G23/'anexa 4 lei'!$K$4</f>
        <v>1326.607532</v>
      </c>
      <c r="H23" s="187">
        <f>'anexa 4 lei'!H23/'anexa 4 lei'!$K$4</f>
        <v>321.46599800000001</v>
      </c>
      <c r="I23" s="187">
        <f>'anexa 4 lei'!I23/'anexa 4 lei'!$K$4</f>
        <v>340.54353800000001</v>
      </c>
      <c r="J23" s="187">
        <f>'anexa 4 lei'!J23/'anexa 4 lei'!$K$4</f>
        <v>341.76039800000001</v>
      </c>
      <c r="K23" s="555">
        <f>'anexa 4 lei'!K23/'anexa 4 lei'!$K$4</f>
        <v>322.83759800000001</v>
      </c>
      <c r="L23" s="551">
        <f>'anexa 4 lei'!L23/'anexa 4 lei'!$K$4</f>
        <v>3140.652</v>
      </c>
      <c r="M23" s="187">
        <f>'anexa 4 lei'!M23/'anexa 4 lei'!$K$4</f>
        <v>2636.7361799999999</v>
      </c>
      <c r="N23" s="187">
        <f>'anexa 4 lei'!N23/'anexa 4 lei'!$K$4</f>
        <v>1326.607532</v>
      </c>
      <c r="O23" s="187">
        <f>'anexa 4 lei'!O23/'anexa 4 lei'!$K$4</f>
        <v>0</v>
      </c>
    </row>
    <row r="24" spans="1:15" hidden="1" x14ac:dyDescent="0.2">
      <c r="A24" s="826"/>
      <c r="B24" s="748"/>
      <c r="C24" s="749"/>
      <c r="D24" s="749" t="s">
        <v>329</v>
      </c>
      <c r="E24" s="750" t="s">
        <v>330</v>
      </c>
      <c r="F24" s="749">
        <f t="shared" si="0"/>
        <v>15</v>
      </c>
      <c r="G24" s="187">
        <f>'anexa 4 lei'!G24/'anexa 4 lei'!$K$4</f>
        <v>519.27412400000003</v>
      </c>
      <c r="H24" s="187">
        <f>'anexa 4 lei'!H24/'anexa 4 lei'!$K$4</f>
        <v>119.68514599999999</v>
      </c>
      <c r="I24" s="187">
        <f>'anexa 4 lei'!I24/'anexa 4 lei'!$K$4</f>
        <v>138.71268599999999</v>
      </c>
      <c r="J24" s="187">
        <f>'anexa 4 lei'!J24/'anexa 4 lei'!$K$4</f>
        <v>139.87954599999998</v>
      </c>
      <c r="K24" s="555">
        <f>'anexa 4 lei'!K24/'anexa 4 lei'!$K$4</f>
        <v>120.996746</v>
      </c>
      <c r="L24" s="551">
        <f>'anexa 4 lei'!L24/'anexa 4 lei'!$K$4</f>
        <v>1957.8230000000001</v>
      </c>
      <c r="M24" s="187">
        <f>'anexa 4 lei'!M24/'anexa 4 lei'!$K$4</f>
        <v>530.13617999999997</v>
      </c>
      <c r="N24" s="187">
        <f>'anexa 4 lei'!N24/'anexa 4 lei'!$K$4</f>
        <v>519.27412400000003</v>
      </c>
      <c r="O24" s="187">
        <f>'anexa 4 lei'!O24/'anexa 4 lei'!$K$4</f>
        <v>0</v>
      </c>
    </row>
    <row r="25" spans="1:15" ht="25.5" hidden="1" x14ac:dyDescent="0.2">
      <c r="A25" s="826"/>
      <c r="B25" s="748"/>
      <c r="C25" s="749"/>
      <c r="D25" s="749" t="s">
        <v>52</v>
      </c>
      <c r="E25" s="747" t="s">
        <v>331</v>
      </c>
      <c r="F25" s="749">
        <f t="shared" si="0"/>
        <v>16</v>
      </c>
      <c r="G25" s="187">
        <f>'anexa 4 lei'!G25/'anexa 4 lei'!$K$4</f>
        <v>0</v>
      </c>
      <c r="H25" s="187">
        <f>'anexa 4 lei'!H25/'anexa 4 lei'!$K$4</f>
        <v>0</v>
      </c>
      <c r="I25" s="187">
        <f>'anexa 4 lei'!I25/'anexa 4 lei'!$K$4</f>
        <v>0</v>
      </c>
      <c r="J25" s="187">
        <f>'anexa 4 lei'!J25/'anexa 4 lei'!$K$4</f>
        <v>0</v>
      </c>
      <c r="K25" s="555">
        <f>'anexa 4 lei'!K25/'anexa 4 lei'!$K$4</f>
        <v>0</v>
      </c>
      <c r="L25" s="551">
        <f>'anexa 4 lei'!L25/'anexa 4 lei'!$K$4</f>
        <v>0</v>
      </c>
      <c r="M25" s="187">
        <f>'anexa 4 lei'!M25/'anexa 4 lei'!$K$4</f>
        <v>0</v>
      </c>
      <c r="N25" s="187">
        <f>'anexa 4 lei'!N25/'anexa 4 lei'!$K$4</f>
        <v>0</v>
      </c>
      <c r="O25" s="187">
        <f>'anexa 4 lei'!O25/'anexa 4 lei'!$K$4</f>
        <v>0</v>
      </c>
    </row>
    <row r="26" spans="1:15" hidden="1" x14ac:dyDescent="0.2">
      <c r="A26" s="826"/>
      <c r="B26" s="748"/>
      <c r="C26" s="749"/>
      <c r="D26" s="749"/>
      <c r="E26" s="750" t="s">
        <v>332</v>
      </c>
      <c r="F26" s="749">
        <f t="shared" si="0"/>
        <v>17</v>
      </c>
      <c r="G26" s="187">
        <f>'anexa 4 lei'!G26/'anexa 4 lei'!$K$4</f>
        <v>0</v>
      </c>
      <c r="H26" s="187">
        <f>'anexa 4 lei'!H26/'anexa 4 lei'!$K$4</f>
        <v>0</v>
      </c>
      <c r="I26" s="187">
        <f>'anexa 4 lei'!I26/'anexa 4 lei'!$K$4</f>
        <v>0</v>
      </c>
      <c r="J26" s="187">
        <f>'anexa 4 lei'!J26/'anexa 4 lei'!$K$4</f>
        <v>0</v>
      </c>
      <c r="K26" s="555">
        <f>'anexa 4 lei'!K26/'anexa 4 lei'!$K$4</f>
        <v>0</v>
      </c>
      <c r="L26" s="551">
        <f>'anexa 4 lei'!L26/'anexa 4 lei'!$K$4</f>
        <v>0</v>
      </c>
      <c r="M26" s="187">
        <f>'anexa 4 lei'!M26/'anexa 4 lei'!$K$4</f>
        <v>0</v>
      </c>
      <c r="N26" s="187">
        <f>'anexa 4 lei'!N26/'anexa 4 lei'!$K$4</f>
        <v>0</v>
      </c>
      <c r="O26" s="187">
        <f>'anexa 4 lei'!O26/'anexa 4 lei'!$K$4</f>
        <v>0</v>
      </c>
    </row>
    <row r="27" spans="1:15" hidden="1" x14ac:dyDescent="0.2">
      <c r="A27" s="826"/>
      <c r="B27" s="748"/>
      <c r="C27" s="749"/>
      <c r="D27" s="749"/>
      <c r="E27" s="750" t="s">
        <v>333</v>
      </c>
      <c r="F27" s="749">
        <f t="shared" si="0"/>
        <v>18</v>
      </c>
      <c r="G27" s="187">
        <f>'anexa 4 lei'!G27/'anexa 4 lei'!$K$4</f>
        <v>0</v>
      </c>
      <c r="H27" s="187">
        <f>'anexa 4 lei'!H27/'anexa 4 lei'!$K$4</f>
        <v>0</v>
      </c>
      <c r="I27" s="187">
        <f>'anexa 4 lei'!I27/'anexa 4 lei'!$K$4</f>
        <v>0</v>
      </c>
      <c r="J27" s="187">
        <f>'anexa 4 lei'!J27/'anexa 4 lei'!$K$4</f>
        <v>0</v>
      </c>
      <c r="K27" s="555">
        <f>'anexa 4 lei'!K27/'anexa 4 lei'!$K$4</f>
        <v>0</v>
      </c>
      <c r="L27" s="551">
        <f>'anexa 4 lei'!L27/'anexa 4 lei'!$K$4</f>
        <v>0</v>
      </c>
      <c r="M27" s="187">
        <f>'anexa 4 lei'!M27/'anexa 4 lei'!$K$4</f>
        <v>0</v>
      </c>
      <c r="N27" s="187">
        <f>'anexa 4 lei'!N27/'anexa 4 lei'!$K$4</f>
        <v>0</v>
      </c>
      <c r="O27" s="187">
        <f>'anexa 4 lei'!O27/'anexa 4 lei'!$K$4</f>
        <v>0</v>
      </c>
    </row>
    <row r="28" spans="1:15" hidden="1" x14ac:dyDescent="0.2">
      <c r="A28" s="826"/>
      <c r="B28" s="748"/>
      <c r="C28" s="749"/>
      <c r="D28" s="749" t="s">
        <v>53</v>
      </c>
      <c r="E28" s="750" t="s">
        <v>334</v>
      </c>
      <c r="F28" s="749">
        <f t="shared" si="0"/>
        <v>19</v>
      </c>
      <c r="G28" s="187">
        <f>'anexa 4 lei'!G28/'anexa 4 lei'!$K$4</f>
        <v>0</v>
      </c>
      <c r="H28" s="187">
        <f>'anexa 4 lei'!H28/'anexa 4 lei'!$K$4</f>
        <v>0</v>
      </c>
      <c r="I28" s="187">
        <f>'anexa 4 lei'!I28/'anexa 4 lei'!$K$4</f>
        <v>0</v>
      </c>
      <c r="J28" s="187">
        <f>'anexa 4 lei'!J28/'anexa 4 lei'!$K$4</f>
        <v>0</v>
      </c>
      <c r="K28" s="555">
        <f>'anexa 4 lei'!K28/'anexa 4 lei'!$K$4</f>
        <v>0</v>
      </c>
      <c r="L28" s="551">
        <f>'anexa 4 lei'!L28/'anexa 4 lei'!$K$4</f>
        <v>0</v>
      </c>
      <c r="M28" s="187">
        <f>'anexa 4 lei'!M28/'anexa 4 lei'!$K$4</f>
        <v>0</v>
      </c>
      <c r="N28" s="187">
        <f>'anexa 4 lei'!N28/'anexa 4 lei'!$K$4</f>
        <v>0</v>
      </c>
      <c r="O28" s="187">
        <f>'anexa 4 lei'!O28/'anexa 4 lei'!$K$4</f>
        <v>0</v>
      </c>
    </row>
    <row r="29" spans="1:15" hidden="1" x14ac:dyDescent="0.2">
      <c r="A29" s="826"/>
      <c r="B29" s="748"/>
      <c r="C29" s="749"/>
      <c r="D29" s="749" t="s">
        <v>54</v>
      </c>
      <c r="E29" s="750" t="s">
        <v>335</v>
      </c>
      <c r="F29" s="749">
        <f t="shared" si="0"/>
        <v>20</v>
      </c>
      <c r="G29" s="187">
        <f>'anexa 4 lei'!G29/'anexa 4 lei'!$K$4</f>
        <v>0</v>
      </c>
      <c r="H29" s="187">
        <f>'anexa 4 lei'!H29/'anexa 4 lei'!$K$4</f>
        <v>0</v>
      </c>
      <c r="I29" s="187">
        <f>'anexa 4 lei'!I29/'anexa 4 lei'!$K$4</f>
        <v>0</v>
      </c>
      <c r="J29" s="187">
        <f>'anexa 4 lei'!J29/'anexa 4 lei'!$K$4</f>
        <v>0</v>
      </c>
      <c r="K29" s="555">
        <f>'anexa 4 lei'!K29/'anexa 4 lei'!$K$4</f>
        <v>0</v>
      </c>
      <c r="L29" s="551">
        <f>'anexa 4 lei'!L29/'anexa 4 lei'!$K$4</f>
        <v>0</v>
      </c>
      <c r="M29" s="187">
        <f>'anexa 4 lei'!M29/'anexa 4 lei'!$K$4</f>
        <v>0</v>
      </c>
      <c r="N29" s="187">
        <f>'anexa 4 lei'!N29/'anexa 4 lei'!$K$4</f>
        <v>0</v>
      </c>
      <c r="O29" s="187">
        <f>'anexa 4 lei'!O29/'anexa 4 lei'!$K$4</f>
        <v>0</v>
      </c>
    </row>
    <row r="30" spans="1:15" hidden="1" x14ac:dyDescent="0.2">
      <c r="A30" s="826"/>
      <c r="B30" s="748"/>
      <c r="C30" s="749"/>
      <c r="D30" s="749" t="s">
        <v>55</v>
      </c>
      <c r="E30" s="750" t="s">
        <v>321</v>
      </c>
      <c r="F30" s="749">
        <f t="shared" si="0"/>
        <v>21</v>
      </c>
      <c r="G30" s="187">
        <f>'anexa 4 lei'!G30/'anexa 4 lei'!$K$4</f>
        <v>807.33340800000008</v>
      </c>
      <c r="H30" s="187">
        <f>'anexa 4 lei'!H30/'anexa 4 lei'!$K$4</f>
        <v>201.78085200000001</v>
      </c>
      <c r="I30" s="187">
        <f>'anexa 4 lei'!I30/'anexa 4 lei'!$K$4</f>
        <v>201.83085200000002</v>
      </c>
      <c r="J30" s="187">
        <f>'anexa 4 lei'!J30/'anexa 4 lei'!$K$4</f>
        <v>201.880852</v>
      </c>
      <c r="K30" s="555">
        <f>'anexa 4 lei'!K30/'anexa 4 lei'!$K$4</f>
        <v>201.84085200000001</v>
      </c>
      <c r="L30" s="551">
        <f>'anexa 4 lei'!L30/'anexa 4 lei'!$K$4</f>
        <v>1182.829</v>
      </c>
      <c r="M30" s="187">
        <f>'anexa 4 lei'!M30/'anexa 4 lei'!$K$4</f>
        <v>2106.6</v>
      </c>
      <c r="N30" s="187">
        <f>'anexa 4 lei'!N30/'anexa 4 lei'!$K$4</f>
        <v>807.33340800000008</v>
      </c>
      <c r="O30" s="187">
        <f>'anexa 4 lei'!O30/'anexa 4 lei'!$K$4</f>
        <v>0</v>
      </c>
    </row>
    <row r="31" spans="1:15" ht="13.5" hidden="1" customHeight="1" x14ac:dyDescent="0.2">
      <c r="A31" s="826"/>
      <c r="B31" s="748" t="s">
        <v>21</v>
      </c>
      <c r="C31" s="749"/>
      <c r="D31" s="829" t="s">
        <v>509</v>
      </c>
      <c r="E31" s="829"/>
      <c r="F31" s="749">
        <f t="shared" si="0"/>
        <v>22</v>
      </c>
      <c r="G31" s="187">
        <f>'anexa 4 lei'!G31/'anexa 4 lei'!$K$4</f>
        <v>950.05767400000002</v>
      </c>
      <c r="H31" s="187">
        <f>'anexa 4 lei'!H31/'anexa 4 lei'!$K$4</f>
        <v>300.01280599999996</v>
      </c>
      <c r="I31" s="187">
        <f>'anexa 4 lei'!I31/'anexa 4 lei'!$K$4</f>
        <v>250.01406600000001</v>
      </c>
      <c r="J31" s="187">
        <f>'anexa 4 lei'!J31/'anexa 4 lei'!$K$4</f>
        <v>200.01562600000003</v>
      </c>
      <c r="K31" s="555">
        <f>'anexa 4 lei'!K31/'anexa 4 lei'!$K$4</f>
        <v>200.015176</v>
      </c>
      <c r="L31" s="551">
        <f>'anexa 4 lei'!L31/'anexa 4 lei'!$K$4</f>
        <v>1788.0450000000001</v>
      </c>
      <c r="M31" s="187">
        <f>'anexa 4 lei'!M31/'anexa 4 lei'!$K$4</f>
        <v>1585.1843100000001</v>
      </c>
      <c r="N31" s="187">
        <f>'anexa 4 lei'!N31/'anexa 4 lei'!$K$4</f>
        <v>950.05767400000002</v>
      </c>
      <c r="O31" s="187">
        <f>'anexa 4 lei'!O31/'anexa 4 lei'!$K$4</f>
        <v>0</v>
      </c>
    </row>
    <row r="32" spans="1:15" hidden="1" x14ac:dyDescent="0.2">
      <c r="A32" s="826"/>
      <c r="B32" s="828"/>
      <c r="C32" s="749" t="s">
        <v>27</v>
      </c>
      <c r="D32" s="830" t="s">
        <v>337</v>
      </c>
      <c r="E32" s="830"/>
      <c r="F32" s="749">
        <f t="shared" si="0"/>
        <v>23</v>
      </c>
      <c r="G32" s="187">
        <f>'anexa 4 lei'!G32/'anexa 4 lei'!$K$4</f>
        <v>0</v>
      </c>
      <c r="H32" s="187">
        <f>'anexa 4 lei'!H32/'anexa 4 lei'!$K$4</f>
        <v>0</v>
      </c>
      <c r="I32" s="187">
        <f>'anexa 4 lei'!I32/'anexa 4 lei'!$K$4</f>
        <v>0</v>
      </c>
      <c r="J32" s="187">
        <f>'anexa 4 lei'!J32/'anexa 4 lei'!$K$4</f>
        <v>0</v>
      </c>
      <c r="K32" s="555">
        <f>'anexa 4 lei'!K32/'anexa 4 lei'!$K$4</f>
        <v>0</v>
      </c>
      <c r="L32" s="551">
        <f>'anexa 4 lei'!L32/'anexa 4 lei'!$K$4</f>
        <v>0</v>
      </c>
      <c r="M32" s="187">
        <f>'anexa 4 lei'!M32/'anexa 4 lei'!$K$4</f>
        <v>0</v>
      </c>
      <c r="N32" s="187">
        <f>'anexa 4 lei'!N32/'anexa 4 lei'!$K$4</f>
        <v>0</v>
      </c>
      <c r="O32" s="187">
        <f>'anexa 4 lei'!O32/'anexa 4 lei'!$K$4</f>
        <v>0</v>
      </c>
    </row>
    <row r="33" spans="1:15" hidden="1" x14ac:dyDescent="0.2">
      <c r="A33" s="826"/>
      <c r="B33" s="828"/>
      <c r="C33" s="749" t="s">
        <v>38</v>
      </c>
      <c r="D33" s="830" t="s">
        <v>338</v>
      </c>
      <c r="E33" s="830"/>
      <c r="F33" s="749">
        <f t="shared" si="0"/>
        <v>24</v>
      </c>
      <c r="G33" s="187">
        <f>'anexa 4 lei'!G33/'anexa 4 lei'!$K$4</f>
        <v>0</v>
      </c>
      <c r="H33" s="187">
        <f>'anexa 4 lei'!H33/'anexa 4 lei'!$K$4</f>
        <v>0</v>
      </c>
      <c r="I33" s="187">
        <f>'anexa 4 lei'!I33/'anexa 4 lei'!$K$4</f>
        <v>0</v>
      </c>
      <c r="J33" s="187">
        <f>'anexa 4 lei'!J33/'anexa 4 lei'!$K$4</f>
        <v>0</v>
      </c>
      <c r="K33" s="555">
        <f>'anexa 4 lei'!K33/'anexa 4 lei'!$K$4</f>
        <v>0</v>
      </c>
      <c r="L33" s="551">
        <f>'anexa 4 lei'!L33/'anexa 4 lei'!$K$4</f>
        <v>0</v>
      </c>
      <c r="M33" s="187">
        <f>'anexa 4 lei'!M33/'anexa 4 lei'!$K$4</f>
        <v>0</v>
      </c>
      <c r="N33" s="187">
        <f>'anexa 4 lei'!N33/'anexa 4 lei'!$K$4</f>
        <v>0</v>
      </c>
      <c r="O33" s="187">
        <f>'anexa 4 lei'!O33/'anexa 4 lei'!$K$4</f>
        <v>0</v>
      </c>
    </row>
    <row r="34" spans="1:15" hidden="1" x14ac:dyDescent="0.2">
      <c r="A34" s="826"/>
      <c r="B34" s="828"/>
      <c r="C34" s="749" t="s">
        <v>40</v>
      </c>
      <c r="D34" s="830" t="s">
        <v>339</v>
      </c>
      <c r="E34" s="830"/>
      <c r="F34" s="749">
        <f t="shared" si="0"/>
        <v>25</v>
      </c>
      <c r="G34" s="187">
        <f>'anexa 4 lei'!G34/'anexa 4 lei'!$K$4</f>
        <v>450</v>
      </c>
      <c r="H34" s="187">
        <f>'anexa 4 lei'!H34/'anexa 4 lei'!$K$4</f>
        <v>150</v>
      </c>
      <c r="I34" s="187">
        <f>'anexa 4 lei'!I34/'anexa 4 lei'!$K$4</f>
        <v>100</v>
      </c>
      <c r="J34" s="187">
        <f>'anexa 4 lei'!J34/'anexa 4 lei'!$K$4</f>
        <v>100</v>
      </c>
      <c r="K34" s="555">
        <f>'anexa 4 lei'!K34/'anexa 4 lei'!$K$4</f>
        <v>100</v>
      </c>
      <c r="L34" s="551">
        <f>'anexa 4 lei'!L34/'anexa 4 lei'!$K$4</f>
        <v>903.303</v>
      </c>
      <c r="M34" s="187">
        <f>'anexa 4 lei'!M34/'anexa 4 lei'!$K$4</f>
        <v>1035</v>
      </c>
      <c r="N34" s="187">
        <f>'anexa 4 lei'!N34/'anexa 4 lei'!$K$4</f>
        <v>450</v>
      </c>
      <c r="O34" s="187">
        <f>'anexa 4 lei'!O34/'anexa 4 lei'!$K$4</f>
        <v>0</v>
      </c>
    </row>
    <row r="35" spans="1:15" hidden="1" x14ac:dyDescent="0.2">
      <c r="A35" s="826"/>
      <c r="B35" s="828"/>
      <c r="C35" s="749" t="s">
        <v>42</v>
      </c>
      <c r="D35" s="830" t="s">
        <v>340</v>
      </c>
      <c r="E35" s="830"/>
      <c r="F35" s="749">
        <f t="shared" si="0"/>
        <v>26</v>
      </c>
      <c r="G35" s="187">
        <f>'anexa 4 lei'!G35/'anexa 4 lei'!$K$4</f>
        <v>500.05767400000002</v>
      </c>
      <c r="H35" s="187">
        <f>'anexa 4 lei'!H35/'anexa 4 lei'!$K$4</f>
        <v>150.01280600000001</v>
      </c>
      <c r="I35" s="187">
        <f>'anexa 4 lei'!I35/'anexa 4 lei'!$K$4</f>
        <v>150.01406600000001</v>
      </c>
      <c r="J35" s="187">
        <f>'anexa 4 lei'!J35/'anexa 4 lei'!$K$4</f>
        <v>100.015626</v>
      </c>
      <c r="K35" s="555">
        <f>'anexa 4 lei'!K35/'anexa 4 lei'!$K$4</f>
        <v>100.01517600000001</v>
      </c>
      <c r="L35" s="551">
        <f>'anexa 4 lei'!L35/'anexa 4 lei'!$K$4</f>
        <v>884.74199999999996</v>
      </c>
      <c r="M35" s="187">
        <f>'anexa 4 lei'!M35/'anexa 4 lei'!$K$4</f>
        <v>550.18430999999998</v>
      </c>
      <c r="N35" s="187">
        <f>'anexa 4 lei'!N35/'anexa 4 lei'!$K$4</f>
        <v>500.05767400000002</v>
      </c>
      <c r="O35" s="187">
        <f>'anexa 4 lei'!O35/'anexa 4 lei'!$K$4</f>
        <v>0</v>
      </c>
    </row>
    <row r="36" spans="1:15" hidden="1" x14ac:dyDescent="0.2">
      <c r="A36" s="826"/>
      <c r="B36" s="828"/>
      <c r="C36" s="749" t="s">
        <v>28</v>
      </c>
      <c r="D36" s="830" t="s">
        <v>341</v>
      </c>
      <c r="E36" s="830"/>
      <c r="F36" s="749">
        <f t="shared" si="0"/>
        <v>27</v>
      </c>
      <c r="G36" s="187">
        <f>'anexa 4 lei'!G36/'anexa 4 lei'!$K$4</f>
        <v>0</v>
      </c>
      <c r="H36" s="187">
        <f>'anexa 4 lei'!H36/'anexa 4 lei'!$K$4</f>
        <v>0</v>
      </c>
      <c r="I36" s="187">
        <f>'anexa 4 lei'!I36/'anexa 4 lei'!$K$4</f>
        <v>0</v>
      </c>
      <c r="J36" s="187">
        <f>'anexa 4 lei'!J36/'anexa 4 lei'!$K$4</f>
        <v>0</v>
      </c>
      <c r="K36" s="555">
        <f>'anexa 4 lei'!K36/'anexa 4 lei'!$K$4</f>
        <v>0</v>
      </c>
      <c r="L36" s="551">
        <f>'anexa 4 lei'!L36/'anexa 4 lei'!$K$4</f>
        <v>0</v>
      </c>
      <c r="M36" s="187">
        <f>'anexa 4 lei'!M36/'anexa 4 lei'!$K$4</f>
        <v>0</v>
      </c>
      <c r="N36" s="187">
        <f>'anexa 4 lei'!N36/'anexa 4 lei'!$K$4</f>
        <v>0</v>
      </c>
      <c r="O36" s="187">
        <f>'anexa 4 lei'!O36/'anexa 4 lei'!$K$4</f>
        <v>0</v>
      </c>
    </row>
    <row r="37" spans="1:15" ht="13.5" hidden="1" thickBot="1" x14ac:dyDescent="0.25">
      <c r="A37" s="826"/>
      <c r="B37" s="218" t="s">
        <v>17</v>
      </c>
      <c r="C37" s="745"/>
      <c r="D37" s="833" t="s">
        <v>115</v>
      </c>
      <c r="E37" s="833"/>
      <c r="F37" s="745">
        <f t="shared" si="0"/>
        <v>28</v>
      </c>
      <c r="G37" s="219">
        <f>'anexa 4 lei'!G37/'anexa 4 lei'!$K$4</f>
        <v>0</v>
      </c>
      <c r="H37" s="219">
        <f>'anexa 4 lei'!H37/'anexa 4 lei'!$K$4</f>
        <v>0</v>
      </c>
      <c r="I37" s="219">
        <f>'anexa 4 lei'!I37/'anexa 4 lei'!$K$4</f>
        <v>0</v>
      </c>
      <c r="J37" s="219">
        <f>'anexa 4 lei'!J37/'anexa 4 lei'!$K$4</f>
        <v>0</v>
      </c>
      <c r="K37" s="556">
        <f>'anexa 4 lei'!K37/'anexa 4 lei'!$K$4</f>
        <v>0</v>
      </c>
      <c r="L37" s="552">
        <f>'anexa 4 lei'!L37/'anexa 4 lei'!$K$4</f>
        <v>0</v>
      </c>
      <c r="M37" s="219">
        <f>'anexa 4 lei'!M37/'anexa 4 lei'!$K$4</f>
        <v>0</v>
      </c>
      <c r="N37" s="219">
        <f>'anexa 4 lei'!N37/'anexa 4 lei'!$K$4</f>
        <v>0</v>
      </c>
      <c r="O37" s="219">
        <f>'anexa 4 lei'!O37/'anexa 4 lei'!$K$4</f>
        <v>0</v>
      </c>
    </row>
    <row r="38" spans="1:15" s="157" customFormat="1" ht="15.75" thickBot="1" x14ac:dyDescent="0.25">
      <c r="A38" s="755" t="s">
        <v>23</v>
      </c>
      <c r="B38" s="834" t="s">
        <v>463</v>
      </c>
      <c r="C38" s="835"/>
      <c r="D38" s="835"/>
      <c r="E38" s="835"/>
      <c r="F38" s="746">
        <f t="shared" si="0"/>
        <v>29</v>
      </c>
      <c r="G38" s="220">
        <f>'anexa 4 lei'!G38/'anexa 4 lei'!$K$4</f>
        <v>126930.33485888</v>
      </c>
      <c r="H38" s="220">
        <f>'anexa 4 lei'!H38/'anexa 4 lei'!$K$4</f>
        <v>26828.189174519997</v>
      </c>
      <c r="I38" s="220">
        <f>'anexa 4 lei'!I38/'anexa 4 lei'!$K$4</f>
        <v>30030.229225339994</v>
      </c>
      <c r="J38" s="220">
        <f>'anexa 4 lei'!J38/'anexa 4 lei'!$K$4</f>
        <v>33061.463856080001</v>
      </c>
      <c r="K38" s="557">
        <f>'anexa 4 lei'!K38/'anexa 4 lei'!$K$4</f>
        <v>37010.452602939986</v>
      </c>
      <c r="L38" s="553">
        <f>'anexa 4 lei'!L38/'anexa 4 lei'!$K$4</f>
        <v>108845.47463452</v>
      </c>
      <c r="M38" s="547">
        <f>'anexa 4 lei'!M38/'anexa 4 lei'!$K$4</f>
        <v>119745.05875237469</v>
      </c>
      <c r="N38" s="742">
        <f>'anexa 4 lei'!N38/'anexa 4 lei'!$K$4</f>
        <v>121251.16785888</v>
      </c>
      <c r="O38" s="547">
        <f>'anexa 4 lei'!O38/'anexa 4 lei'!$K$4</f>
        <v>5679.1670000000004</v>
      </c>
    </row>
    <row r="39" spans="1:15" ht="13.5" customHeight="1" x14ac:dyDescent="0.2">
      <c r="A39" s="826"/>
      <c r="B39" s="215" t="s">
        <v>4</v>
      </c>
      <c r="C39" s="836" t="s">
        <v>464</v>
      </c>
      <c r="D39" s="836"/>
      <c r="E39" s="836"/>
      <c r="F39" s="756">
        <f t="shared" si="0"/>
        <v>30</v>
      </c>
      <c r="G39" s="216">
        <f>'anexa 4 lei'!G39/'anexa 4 lei'!$K$4</f>
        <v>125120.33485888</v>
      </c>
      <c r="H39" s="216">
        <f>'anexa 4 lei'!H39/'anexa 4 lei'!$K$4</f>
        <v>26258.189174519997</v>
      </c>
      <c r="I39" s="216">
        <f>'anexa 4 lei'!I39/'anexa 4 lei'!$K$4</f>
        <v>29830.229225339994</v>
      </c>
      <c r="J39" s="216">
        <f>'anexa 4 lei'!J39/'anexa 4 lei'!$K$4</f>
        <v>32306.463856080001</v>
      </c>
      <c r="K39" s="558">
        <f>'anexa 4 lei'!K39/'anexa 4 lei'!$K$4</f>
        <v>36725.452602939993</v>
      </c>
      <c r="L39" s="554">
        <f>'anexa 4 lei'!L39/'anexa 4 lei'!$K$4</f>
        <v>107056.39763451999</v>
      </c>
      <c r="M39" s="216">
        <f>'anexa 4 lei'!M39/'anexa 4 lei'!$K$4</f>
        <v>117343.87975237469</v>
      </c>
      <c r="N39" s="216">
        <f>'anexa 4 lei'!N39/'anexa 4 lei'!$K$4</f>
        <v>119441.16785888</v>
      </c>
      <c r="O39" s="216">
        <f>'anexa 4 lei'!O39/'anexa 4 lei'!$K$4</f>
        <v>5679.1670000000004</v>
      </c>
    </row>
    <row r="40" spans="1:15" ht="22.5" customHeight="1" x14ac:dyDescent="0.2">
      <c r="A40" s="826"/>
      <c r="B40" s="828"/>
      <c r="C40" s="829" t="s">
        <v>473</v>
      </c>
      <c r="D40" s="829"/>
      <c r="E40" s="829"/>
      <c r="F40" s="749">
        <f t="shared" si="0"/>
        <v>31</v>
      </c>
      <c r="G40" s="187">
        <f>'anexa 4 lei'!G40/'anexa 4 lei'!$K$4</f>
        <v>55297.567430000003</v>
      </c>
      <c r="H40" s="187">
        <f>'anexa 4 lei'!H40/'anexa 4 lei'!$K$4</f>
        <v>12560.37384</v>
      </c>
      <c r="I40" s="187">
        <f>'anexa 4 lei'!I40/'anexa 4 lei'!$K$4</f>
        <v>14097.80075</v>
      </c>
      <c r="J40" s="187">
        <f>'anexa 4 lei'!J40/'anexa 4 lei'!$K$4</f>
        <v>14959.815210000001</v>
      </c>
      <c r="K40" s="555">
        <f>'anexa 4 lei'!K40/'anexa 4 lei'!$K$4</f>
        <v>13679.577630000002</v>
      </c>
      <c r="L40" s="551">
        <f>'anexa 4 lei'!L40/'anexa 4 lei'!$K$4</f>
        <v>43553.966</v>
      </c>
      <c r="M40" s="187">
        <f>'anexa 4 lei'!M40/'anexa 4 lei'!$K$4</f>
        <v>49328.134633922506</v>
      </c>
      <c r="N40" s="187">
        <f>'anexa 4 lei'!N40/'anexa 4 lei'!$K$4</f>
        <v>54982.567430000003</v>
      </c>
      <c r="O40" s="187">
        <f>'anexa 4 lei'!O40/'anexa 4 lei'!$K$4</f>
        <v>315</v>
      </c>
    </row>
    <row r="41" spans="1:15" ht="12.75" hidden="1" customHeight="1" x14ac:dyDescent="0.2">
      <c r="A41" s="826"/>
      <c r="B41" s="828"/>
      <c r="C41" s="207" t="s">
        <v>265</v>
      </c>
      <c r="D41" s="831" t="s">
        <v>342</v>
      </c>
      <c r="E41" s="831"/>
      <c r="F41" s="749">
        <f t="shared" si="0"/>
        <v>32</v>
      </c>
      <c r="G41" s="187">
        <f>'anexa 4 lei'!G41/'anexa 4 lei'!$K$4</f>
        <v>38307.838230000001</v>
      </c>
      <c r="H41" s="187">
        <f>'anexa 4 lei'!H41/'anexa 4 lei'!$K$4</f>
        <v>9146.8590700000004</v>
      </c>
      <c r="I41" s="187">
        <f>'anexa 4 lei'!I41/'anexa 4 lei'!$K$4</f>
        <v>9815.8897500000003</v>
      </c>
      <c r="J41" s="187">
        <f>'anexa 4 lei'!J41/'anexa 4 lei'!$K$4</f>
        <v>10224.123880000001</v>
      </c>
      <c r="K41" s="555">
        <f>'anexa 4 lei'!K41/'anexa 4 lei'!$K$4</f>
        <v>9120.9655300000013</v>
      </c>
      <c r="L41" s="551">
        <f>'anexa 4 lei'!L41/'anexa 4 lei'!$K$4</f>
        <v>32317.9</v>
      </c>
      <c r="M41" s="187">
        <f>'anexa 4 lei'!M41/'anexa 4 lei'!$K$4</f>
        <v>34558.943218804998</v>
      </c>
      <c r="N41" s="187">
        <f>'anexa 4 lei'!N41/'anexa 4 lei'!$K$4</f>
        <v>38307.838230000001</v>
      </c>
      <c r="O41" s="187">
        <f>'anexa 4 lei'!O41/'anexa 4 lei'!$K$4</f>
        <v>0</v>
      </c>
    </row>
    <row r="42" spans="1:15" ht="12.75" hidden="1" customHeight="1" x14ac:dyDescent="0.2">
      <c r="A42" s="826"/>
      <c r="B42" s="828"/>
      <c r="C42" s="749" t="s">
        <v>27</v>
      </c>
      <c r="D42" s="830" t="s">
        <v>227</v>
      </c>
      <c r="E42" s="830"/>
      <c r="F42" s="749">
        <f t="shared" si="0"/>
        <v>33</v>
      </c>
      <c r="G42" s="187">
        <f>'anexa 4 lei'!G42/'anexa 4 lei'!$K$4</f>
        <v>2081.81531</v>
      </c>
      <c r="H42" s="187">
        <f>'anexa 4 lei'!H42/'anexa 4 lei'!$K$4</f>
        <v>507.61315000000002</v>
      </c>
      <c r="I42" s="187">
        <f>'anexa 4 lei'!I42/'anexa 4 lei'!$K$4</f>
        <v>557.64314999999988</v>
      </c>
      <c r="J42" s="187">
        <f>'anexa 4 lei'!J42/'anexa 4 lei'!$K$4</f>
        <v>457.74315000000001</v>
      </c>
      <c r="K42" s="555">
        <f>'anexa 4 lei'!K42/'anexa 4 lei'!$K$4</f>
        <v>558.81585999999993</v>
      </c>
      <c r="L42" s="551">
        <f>'anexa 4 lei'!L42/'anexa 4 lei'!$K$4</f>
        <v>1639.5050000000001</v>
      </c>
      <c r="M42" s="187">
        <f>'anexa 4 lei'!M42/'anexa 4 lei'!$K$4</f>
        <v>1435.336257985</v>
      </c>
      <c r="N42" s="187">
        <f>'anexa 4 lei'!N42/'anexa 4 lei'!$K$4</f>
        <v>2081.81531</v>
      </c>
      <c r="O42" s="187">
        <f>'anexa 4 lei'!O42/'anexa 4 lei'!$K$4</f>
        <v>0</v>
      </c>
    </row>
    <row r="43" spans="1:15" ht="12.75" hidden="1" customHeight="1" x14ac:dyDescent="0.2">
      <c r="A43" s="826"/>
      <c r="B43" s="828"/>
      <c r="C43" s="749" t="s">
        <v>38</v>
      </c>
      <c r="D43" s="830" t="s">
        <v>267</v>
      </c>
      <c r="E43" s="830"/>
      <c r="F43" s="749">
        <f t="shared" si="0"/>
        <v>34</v>
      </c>
      <c r="G43" s="187">
        <f>'anexa 4 lei'!G43/'anexa 4 lei'!$K$4</f>
        <v>7312.6566399999992</v>
      </c>
      <c r="H43" s="187">
        <f>'anexa 4 lei'!H43/'anexa 4 lei'!$K$4</f>
        <v>1560.6928799999998</v>
      </c>
      <c r="I43" s="187">
        <f>'anexa 4 lei'!I43/'anexa 4 lei'!$K$4</f>
        <v>2004.4296899999999</v>
      </c>
      <c r="J43" s="187">
        <f>'anexa 4 lei'!J43/'anexa 4 lei'!$K$4</f>
        <v>1987.9983999999999</v>
      </c>
      <c r="K43" s="555">
        <f>'anexa 4 lei'!K43/'anexa 4 lei'!$K$4</f>
        <v>1759.53567</v>
      </c>
      <c r="L43" s="551">
        <f>'anexa 4 lei'!L43/'anexa 4 lei'!$K$4</f>
        <v>6226.8149999999996</v>
      </c>
      <c r="M43" s="187">
        <f>'anexa 4 lei'!M43/'anexa 4 lei'!$K$4</f>
        <v>6848.5126945993998</v>
      </c>
      <c r="N43" s="187">
        <f>'anexa 4 lei'!N43/'anexa 4 lei'!$K$4</f>
        <v>7312.6566399999992</v>
      </c>
      <c r="O43" s="187">
        <f>'anexa 4 lei'!O43/'anexa 4 lei'!$K$4</f>
        <v>0</v>
      </c>
    </row>
    <row r="44" spans="1:15" ht="12.75" hidden="1" customHeight="1" x14ac:dyDescent="0.2">
      <c r="A44" s="826"/>
      <c r="B44" s="828"/>
      <c r="C44" s="749"/>
      <c r="D44" s="750" t="s">
        <v>76</v>
      </c>
      <c r="E44" s="750" t="s">
        <v>268</v>
      </c>
      <c r="F44" s="749">
        <f t="shared" si="0"/>
        <v>35</v>
      </c>
      <c r="G44" s="187">
        <f>'anexa 4 lei'!G44/'anexa 4 lei'!$K$4</f>
        <v>4604.3399300000001</v>
      </c>
      <c r="H44" s="187">
        <f>'anexa 4 lei'!H44/'anexa 4 lei'!$K$4</f>
        <v>949.34285999999997</v>
      </c>
      <c r="I44" s="187">
        <f>'anexa 4 lei'!I44/'anexa 4 lei'!$K$4</f>
        <v>1283.3311699999999</v>
      </c>
      <c r="J44" s="187">
        <f>'anexa 4 lei'!J44/'anexa 4 lei'!$K$4</f>
        <v>1251.06223</v>
      </c>
      <c r="K44" s="555">
        <f>'anexa 4 lei'!K44/'anexa 4 lei'!$K$4</f>
        <v>1120.60367</v>
      </c>
      <c r="L44" s="551">
        <f>'anexa 4 lei'!L44/'anexa 4 lei'!$K$4</f>
        <v>4216.3760000000002</v>
      </c>
      <c r="M44" s="187">
        <f>'anexa 4 lei'!M44/'anexa 4 lei'!$K$4</f>
        <v>4347.0785226568005</v>
      </c>
      <c r="N44" s="187">
        <f>'anexa 4 lei'!N44/'anexa 4 lei'!$K$4</f>
        <v>4604.3399300000001</v>
      </c>
      <c r="O44" s="187">
        <f>'anexa 4 lei'!O44/'anexa 4 lei'!$K$4</f>
        <v>0</v>
      </c>
    </row>
    <row r="45" spans="1:15" ht="12.75" hidden="1" customHeight="1" x14ac:dyDescent="0.2">
      <c r="A45" s="826"/>
      <c r="B45" s="828"/>
      <c r="C45" s="749"/>
      <c r="D45" s="750" t="s">
        <v>99</v>
      </c>
      <c r="E45" s="750" t="s">
        <v>269</v>
      </c>
      <c r="F45" s="749">
        <f t="shared" si="0"/>
        <v>36</v>
      </c>
      <c r="G45" s="187">
        <f>'anexa 4 lei'!G45/'anexa 4 lei'!$K$4</f>
        <v>2711.9667100000001</v>
      </c>
      <c r="H45" s="187">
        <f>'anexa 4 lei'!H45/'anexa 4 lei'!$K$4</f>
        <v>612.25002000000006</v>
      </c>
      <c r="I45" s="187">
        <f>'anexa 4 lei'!I45/'anexa 4 lei'!$K$4</f>
        <v>721.99851999999998</v>
      </c>
      <c r="J45" s="187">
        <f>'anexa 4 lei'!J45/'anexa 4 lei'!$K$4</f>
        <v>737.83617000000004</v>
      </c>
      <c r="K45" s="555">
        <f>'anexa 4 lei'!K45/'anexa 4 lei'!$K$4</f>
        <v>639.88199999999995</v>
      </c>
      <c r="L45" s="551">
        <f>'anexa 4 lei'!L45/'anexa 4 lei'!$K$4</f>
        <v>2010.4390000000001</v>
      </c>
      <c r="M45" s="187">
        <f>'anexa 4 lei'!M45/'anexa 4 lei'!$K$4</f>
        <v>2501.4341719426002</v>
      </c>
      <c r="N45" s="187">
        <f>'anexa 4 lei'!N45/'anexa 4 lei'!$K$4</f>
        <v>2711.9667100000001</v>
      </c>
      <c r="O45" s="187">
        <f>'anexa 4 lei'!O45/'anexa 4 lei'!$K$4</f>
        <v>0</v>
      </c>
    </row>
    <row r="46" spans="1:15" ht="13.5" hidden="1" customHeight="1" x14ac:dyDescent="0.2">
      <c r="A46" s="826"/>
      <c r="B46" s="828"/>
      <c r="C46" s="749" t="s">
        <v>40</v>
      </c>
      <c r="D46" s="837" t="s">
        <v>343</v>
      </c>
      <c r="E46" s="837"/>
      <c r="F46" s="749">
        <f t="shared" si="0"/>
        <v>37</v>
      </c>
      <c r="G46" s="187">
        <f>'anexa 4 lei'!G46/'anexa 4 lei'!$K$4</f>
        <v>1655.2910099999999</v>
      </c>
      <c r="H46" s="187">
        <f>'anexa 4 lei'!H46/'anexa 4 lei'!$K$4</f>
        <v>375.02267000000001</v>
      </c>
      <c r="I46" s="187">
        <f>'anexa 4 lei'!I46/'anexa 4 lei'!$K$4</f>
        <v>376.12266999999997</v>
      </c>
      <c r="J46" s="187">
        <f>'anexa 4 lei'!J46/'anexa 4 lei'!$K$4</f>
        <v>425.82266999999996</v>
      </c>
      <c r="K46" s="555">
        <f>'anexa 4 lei'!K46/'anexa 4 lei'!$K$4</f>
        <v>478.32299999999998</v>
      </c>
      <c r="L46" s="551">
        <f>'anexa 4 lei'!L46/'anexa 4 lei'!$K$4</f>
        <v>1486.42</v>
      </c>
      <c r="M46" s="187">
        <f>'anexa 4 lei'!M46/'anexa 4 lei'!$K$4</f>
        <v>1051.5460659937999</v>
      </c>
      <c r="N46" s="187">
        <f>'anexa 4 lei'!N46/'anexa 4 lei'!$K$4</f>
        <v>1655.2910099999999</v>
      </c>
      <c r="O46" s="187">
        <f>'anexa 4 lei'!O46/'anexa 4 lei'!$K$4</f>
        <v>0</v>
      </c>
    </row>
    <row r="47" spans="1:15" ht="12.75" hidden="1" customHeight="1" x14ac:dyDescent="0.2">
      <c r="A47" s="826"/>
      <c r="B47" s="828"/>
      <c r="C47" s="749" t="s">
        <v>42</v>
      </c>
      <c r="D47" s="830" t="s">
        <v>271</v>
      </c>
      <c r="E47" s="830"/>
      <c r="F47" s="749">
        <f t="shared" si="0"/>
        <v>38</v>
      </c>
      <c r="G47" s="187">
        <f>'anexa 4 lei'!G47/'anexa 4 lei'!$K$4</f>
        <v>27258.075270000001</v>
      </c>
      <c r="H47" s="187">
        <f>'anexa 4 lei'!H47/'anexa 4 lei'!$K$4</f>
        <v>6703.5303700000004</v>
      </c>
      <c r="I47" s="187">
        <f>'anexa 4 lei'!I47/'anexa 4 lei'!$K$4</f>
        <v>6877.6942399999998</v>
      </c>
      <c r="J47" s="187">
        <f>'anexa 4 lei'!J47/'anexa 4 lei'!$K$4</f>
        <v>7352.5596599999999</v>
      </c>
      <c r="K47" s="555">
        <f>'anexa 4 lei'!K47/'anexa 4 lei'!$K$4</f>
        <v>6324.2910000000002</v>
      </c>
      <c r="L47" s="551">
        <f>'anexa 4 lei'!L47/'anexa 4 lei'!$K$4</f>
        <v>22965.16</v>
      </c>
      <c r="M47" s="187">
        <f>'anexa 4 lei'!M47/'anexa 4 lei'!$K$4</f>
        <v>25223.5482002268</v>
      </c>
      <c r="N47" s="187">
        <f>'anexa 4 lei'!N47/'anexa 4 lei'!$K$4</f>
        <v>27258.075270000001</v>
      </c>
      <c r="O47" s="187">
        <f>'anexa 4 lei'!O47/'anexa 4 lei'!$K$4</f>
        <v>0</v>
      </c>
    </row>
    <row r="48" spans="1:15" ht="12.75" hidden="1" customHeight="1" x14ac:dyDescent="0.2">
      <c r="A48" s="826"/>
      <c r="B48" s="828"/>
      <c r="C48" s="749" t="s">
        <v>28</v>
      </c>
      <c r="D48" s="830" t="s">
        <v>272</v>
      </c>
      <c r="E48" s="830"/>
      <c r="F48" s="749">
        <f t="shared" si="0"/>
        <v>39</v>
      </c>
      <c r="G48" s="187">
        <f>'anexa 4 lei'!G48/'anexa 4 lei'!$K$4</f>
        <v>0</v>
      </c>
      <c r="H48" s="187">
        <f>'anexa 4 lei'!H48/'anexa 4 lei'!$K$4</f>
        <v>0</v>
      </c>
      <c r="I48" s="187">
        <f>'anexa 4 lei'!I48/'anexa 4 lei'!$K$4</f>
        <v>0</v>
      </c>
      <c r="J48" s="187">
        <f>'anexa 4 lei'!J48/'anexa 4 lei'!$K$4</f>
        <v>0</v>
      </c>
      <c r="K48" s="555">
        <f>'anexa 4 lei'!K48/'anexa 4 lei'!$K$4</f>
        <v>0</v>
      </c>
      <c r="L48" s="551">
        <f>'anexa 4 lei'!L48/'anexa 4 lei'!$K$4</f>
        <v>0</v>
      </c>
      <c r="M48" s="187">
        <f>'anexa 4 lei'!M48/'anexa 4 lei'!$K$4</f>
        <v>0</v>
      </c>
      <c r="N48" s="187">
        <f>'anexa 4 lei'!N48/'anexa 4 lei'!$K$4</f>
        <v>0</v>
      </c>
      <c r="O48" s="187">
        <f>'anexa 4 lei'!O48/'anexa 4 lei'!$K$4</f>
        <v>0</v>
      </c>
    </row>
    <row r="49" spans="1:15" ht="13.5" hidden="1" customHeight="1" x14ac:dyDescent="0.2">
      <c r="A49" s="826"/>
      <c r="B49" s="828"/>
      <c r="C49" s="207" t="s">
        <v>273</v>
      </c>
      <c r="D49" s="829" t="s">
        <v>465</v>
      </c>
      <c r="E49" s="829"/>
      <c r="F49" s="749">
        <f t="shared" si="0"/>
        <v>40</v>
      </c>
      <c r="G49" s="187">
        <f>'anexa 4 lei'!G49/'anexa 4 lei'!$K$4</f>
        <v>8114.5745999999999</v>
      </c>
      <c r="H49" s="187">
        <f>'anexa 4 lei'!H49/'anexa 4 lei'!$K$4</f>
        <v>1613.1663700000001</v>
      </c>
      <c r="I49" s="187">
        <f>'anexa 4 lei'!I49/'anexa 4 lei'!$K$4</f>
        <v>2249.4148</v>
      </c>
      <c r="J49" s="187">
        <f>'anexa 4 lei'!J49/'anexa 4 lei'!$K$4</f>
        <v>2211.973</v>
      </c>
      <c r="K49" s="555">
        <f>'anexa 4 lei'!K49/'anexa 4 lei'!$K$4</f>
        <v>2039.1704299999999</v>
      </c>
      <c r="L49" s="551">
        <f>'anexa 4 lei'!L49/'anexa 4 lei'!$K$4</f>
        <v>4478.5129999999999</v>
      </c>
      <c r="M49" s="187">
        <f>'anexa 4 lei'!M49/'anexa 4 lei'!$K$4</f>
        <v>5961.7494235975009</v>
      </c>
      <c r="N49" s="187">
        <f>'anexa 4 lei'!N49/'anexa 4 lei'!$K$4</f>
        <v>8114.5745999999999</v>
      </c>
      <c r="O49" s="187">
        <f>'anexa 4 lei'!O49/'anexa 4 lei'!$K$4</f>
        <v>0</v>
      </c>
    </row>
    <row r="50" spans="1:15" ht="12.75" hidden="1" customHeight="1" x14ac:dyDescent="0.2">
      <c r="A50" s="826"/>
      <c r="B50" s="828"/>
      <c r="C50" s="749" t="s">
        <v>27</v>
      </c>
      <c r="D50" s="830" t="s">
        <v>274</v>
      </c>
      <c r="E50" s="830"/>
      <c r="F50" s="749">
        <f t="shared" si="0"/>
        <v>41</v>
      </c>
      <c r="G50" s="187">
        <f>'anexa 4 lei'!G50/'anexa 4 lei'!$K$4</f>
        <v>7024.9618799999998</v>
      </c>
      <c r="H50" s="187">
        <f>'anexa 4 lei'!H50/'anexa 4 lei'!$K$4</f>
        <v>1402.01596</v>
      </c>
      <c r="I50" s="187">
        <f>'anexa 4 lei'!I50/'anexa 4 lei'!$K$4</f>
        <v>1985.4239599999999</v>
      </c>
      <c r="J50" s="187">
        <f>'anexa 4 lei'!J50/'anexa 4 lei'!$K$4</f>
        <v>1936.47396</v>
      </c>
      <c r="K50" s="555">
        <f>'anexa 4 lei'!K50/'anexa 4 lei'!$K$4</f>
        <v>1701.048</v>
      </c>
      <c r="L50" s="551">
        <f>'anexa 4 lei'!L50/'anexa 4 lei'!$K$4</f>
        <v>3837.9659999999999</v>
      </c>
      <c r="M50" s="187">
        <f>'anexa 4 lei'!M50/'anexa 4 lei'!$K$4</f>
        <v>5048.2127691079004</v>
      </c>
      <c r="N50" s="187">
        <f>'anexa 4 lei'!N50/'anexa 4 lei'!$K$4</f>
        <v>7024.9618799999998</v>
      </c>
      <c r="O50" s="187">
        <f>'anexa 4 lei'!O50/'anexa 4 lei'!$K$4</f>
        <v>0</v>
      </c>
    </row>
    <row r="51" spans="1:15" ht="13.5" hidden="1" customHeight="1" thickBot="1" x14ac:dyDescent="0.25">
      <c r="A51" s="826"/>
      <c r="B51" s="828"/>
      <c r="C51" s="749" t="s">
        <v>38</v>
      </c>
      <c r="D51" s="830" t="s">
        <v>430</v>
      </c>
      <c r="E51" s="830"/>
      <c r="F51" s="749">
        <f t="shared" si="0"/>
        <v>42</v>
      </c>
      <c r="G51" s="187">
        <f>'anexa 4 lei'!G51/'anexa 4 lei'!$K$4</f>
        <v>711.89343000000008</v>
      </c>
      <c r="H51" s="187">
        <f>'anexa 4 lei'!H51/'anexa 4 lei'!$K$4</f>
        <v>126.852</v>
      </c>
      <c r="I51" s="187">
        <f>'anexa 4 lei'!I51/'anexa 4 lei'!$K$4</f>
        <v>178.34200000000001</v>
      </c>
      <c r="J51" s="187">
        <f>'anexa 4 lei'!J51/'anexa 4 lei'!$K$4</f>
        <v>178.35</v>
      </c>
      <c r="K51" s="555">
        <f>'anexa 4 lei'!K51/'anexa 4 lei'!$K$4</f>
        <v>228.34942999999998</v>
      </c>
      <c r="L51" s="551">
        <f>'anexa 4 lei'!L51/'anexa 4 lei'!$K$4</f>
        <v>431.87200000000001</v>
      </c>
      <c r="M51" s="187">
        <f>'anexa 4 lei'!M51/'anexa 4 lei'!$K$4</f>
        <v>638.38193707820005</v>
      </c>
      <c r="N51" s="187">
        <f>'anexa 4 lei'!N51/'anexa 4 lei'!$K$4</f>
        <v>711.89343000000008</v>
      </c>
      <c r="O51" s="187">
        <f>'anexa 4 lei'!O51/'anexa 4 lei'!$K$4</f>
        <v>0</v>
      </c>
    </row>
    <row r="52" spans="1:15" ht="25.5" hidden="1" customHeight="1" x14ac:dyDescent="0.2">
      <c r="A52" s="832"/>
      <c r="B52" s="828"/>
      <c r="C52" s="749"/>
      <c r="D52" s="749" t="s">
        <v>76</v>
      </c>
      <c r="E52" s="747" t="s">
        <v>157</v>
      </c>
      <c r="F52" s="749">
        <f t="shared" si="0"/>
        <v>43</v>
      </c>
      <c r="G52" s="187">
        <f>'anexa 4 lei'!G52/'anexa 4 lei'!$K$4</f>
        <v>99.913429999999991</v>
      </c>
      <c r="H52" s="187">
        <f>'anexa 4 lei'!H52/'anexa 4 lei'!$K$4</f>
        <v>24.981999999999999</v>
      </c>
      <c r="I52" s="187">
        <f>'anexa 4 lei'!I52/'anexa 4 lei'!$K$4</f>
        <v>24.972000000000001</v>
      </c>
      <c r="J52" s="187">
        <f>'anexa 4 lei'!J52/'anexa 4 lei'!$K$4</f>
        <v>24.98</v>
      </c>
      <c r="K52" s="555">
        <f>'anexa 4 lei'!K52/'anexa 4 lei'!$K$4</f>
        <v>24.979430000000001</v>
      </c>
      <c r="L52" s="551">
        <f>'anexa 4 lei'!L52/'anexa 4 lei'!$K$4</f>
        <v>15.884</v>
      </c>
      <c r="M52" s="187">
        <f>'anexa 4 lei'!M52/'anexa 4 lei'!$K$4</f>
        <v>212.39595199999999</v>
      </c>
      <c r="N52" s="187">
        <f>'anexa 4 lei'!N52/'anexa 4 lei'!$K$4</f>
        <v>99.913429999999991</v>
      </c>
      <c r="O52" s="187">
        <f>'anexa 4 lei'!O52/'anexa 4 lei'!$K$4</f>
        <v>0</v>
      </c>
    </row>
    <row r="53" spans="1:15" ht="12.75" hidden="1" customHeight="1" x14ac:dyDescent="0.2">
      <c r="A53" s="826"/>
      <c r="B53" s="828"/>
      <c r="C53" s="749"/>
      <c r="D53" s="749" t="s">
        <v>99</v>
      </c>
      <c r="E53" s="750" t="s">
        <v>158</v>
      </c>
      <c r="F53" s="749">
        <f t="shared" si="0"/>
        <v>44</v>
      </c>
      <c r="G53" s="187">
        <f>'anexa 4 lei'!G53/'anexa 4 lei'!$K$4</f>
        <v>605.48</v>
      </c>
      <c r="H53" s="187">
        <f>'anexa 4 lei'!H53/'anexa 4 lei'!$K$4</f>
        <v>101.37</v>
      </c>
      <c r="I53" s="187">
        <f>'anexa 4 lei'!I53/'anexa 4 lei'!$K$4</f>
        <v>151.37</v>
      </c>
      <c r="J53" s="187">
        <f>'anexa 4 lei'!J53/'anexa 4 lei'!$K$4</f>
        <v>151.37</v>
      </c>
      <c r="K53" s="555">
        <f>'anexa 4 lei'!K53/'anexa 4 lei'!$K$4</f>
        <v>201.37</v>
      </c>
      <c r="L53" s="551">
        <f>'anexa 4 lei'!L53/'anexa 4 lei'!$K$4</f>
        <v>415.988</v>
      </c>
      <c r="M53" s="187">
        <f>'anexa 4 lei'!M53/'anexa 4 lei'!$K$4</f>
        <v>409.18598507820002</v>
      </c>
      <c r="N53" s="187">
        <f>'anexa 4 lei'!N53/'anexa 4 lei'!$K$4</f>
        <v>605.48</v>
      </c>
      <c r="O53" s="187">
        <f>'anexa 4 lei'!O53/'anexa 4 lei'!$K$4</f>
        <v>0</v>
      </c>
    </row>
    <row r="54" spans="1:15" ht="12.75" hidden="1" customHeight="1" x14ac:dyDescent="0.2">
      <c r="A54" s="826"/>
      <c r="B54" s="828"/>
      <c r="C54" s="749" t="s">
        <v>40</v>
      </c>
      <c r="D54" s="830" t="s">
        <v>159</v>
      </c>
      <c r="E54" s="830"/>
      <c r="F54" s="749">
        <f t="shared" si="0"/>
        <v>45</v>
      </c>
      <c r="G54" s="187">
        <f>'anexa 4 lei'!G54/'anexa 4 lei'!$K$4</f>
        <v>305.78140999999999</v>
      </c>
      <c r="H54" s="187">
        <f>'anexa 4 lei'!H54/'anexa 4 lei'!$K$4</f>
        <v>71.432450000000003</v>
      </c>
      <c r="I54" s="187">
        <f>'anexa 4 lei'!I54/'anexa 4 lei'!$K$4</f>
        <v>71.432880000000011</v>
      </c>
      <c r="J54" s="187">
        <f>'anexa 4 lei'!J54/'anexa 4 lei'!$K$4</f>
        <v>81.433080000000004</v>
      </c>
      <c r="K54" s="555">
        <f>'anexa 4 lei'!K54/'anexa 4 lei'!$K$4</f>
        <v>81.483000000000004</v>
      </c>
      <c r="L54" s="551">
        <f>'anexa 4 lei'!L54/'anexa 4 lei'!$K$4</f>
        <v>208.67500000000001</v>
      </c>
      <c r="M54" s="187">
        <f>'anexa 4 lei'!M54/'anexa 4 lei'!$K$4</f>
        <v>275.15471741139999</v>
      </c>
      <c r="N54" s="187">
        <f>'anexa 4 lei'!N54/'anexa 4 lei'!$K$4</f>
        <v>305.78140999999999</v>
      </c>
      <c r="O54" s="187">
        <f>'anexa 4 lei'!O54/'anexa 4 lei'!$K$4</f>
        <v>0</v>
      </c>
    </row>
    <row r="55" spans="1:15" ht="45.75" customHeight="1" x14ac:dyDescent="0.2">
      <c r="A55" s="826"/>
      <c r="B55" s="828"/>
      <c r="C55" s="207" t="s">
        <v>160</v>
      </c>
      <c r="D55" s="829" t="s">
        <v>466</v>
      </c>
      <c r="E55" s="829"/>
      <c r="F55" s="749">
        <f t="shared" si="0"/>
        <v>46</v>
      </c>
      <c r="G55" s="187">
        <f>'anexa 4 lei'!G55/'anexa 4 lei'!$K$4</f>
        <v>8876.0046000000002</v>
      </c>
      <c r="H55" s="187">
        <f>'anexa 4 lei'!H55/'anexa 4 lei'!$K$4</f>
        <v>1800.3483999999999</v>
      </c>
      <c r="I55" s="187">
        <f>'anexa 4 lei'!I55/'anexa 4 lei'!$K$4</f>
        <v>2032.4962</v>
      </c>
      <c r="J55" s="187">
        <f>'anexa 4 lei'!J55/'anexa 4 lei'!$K$4</f>
        <v>2523.7183300000002</v>
      </c>
      <c r="K55" s="555">
        <f>'anexa 4 lei'!K55/'anexa 4 lei'!$K$4</f>
        <v>2519.4416699999997</v>
      </c>
      <c r="L55" s="551">
        <f>'anexa 4 lei'!L55/'anexa 4 lei'!$K$4</f>
        <v>6757.5529999999999</v>
      </c>
      <c r="M55" s="187">
        <f>'anexa 4 lei'!M55/'anexa 4 lei'!$K$4</f>
        <v>8807.4419915199996</v>
      </c>
      <c r="N55" s="187">
        <f>'anexa 4 lei'!N55/'anexa 4 lei'!$K$4</f>
        <v>8561.0046000000002</v>
      </c>
      <c r="O55" s="187">
        <f>'anexa 4 lei'!O55/'anexa 4 lei'!$K$4</f>
        <v>315</v>
      </c>
    </row>
    <row r="56" spans="1:15" hidden="1" x14ac:dyDescent="0.2">
      <c r="A56" s="826"/>
      <c r="B56" s="828"/>
      <c r="C56" s="749" t="s">
        <v>27</v>
      </c>
      <c r="D56" s="830" t="s">
        <v>161</v>
      </c>
      <c r="E56" s="830"/>
      <c r="F56" s="749">
        <f t="shared" si="0"/>
        <v>47</v>
      </c>
      <c r="G56" s="187">
        <f>'anexa 4 lei'!G56/'anexa 4 lei'!$K$4</f>
        <v>12</v>
      </c>
      <c r="H56" s="187">
        <f>'anexa 4 lei'!H56/'anexa 4 lei'!$K$4</f>
        <v>3</v>
      </c>
      <c r="I56" s="187">
        <f>'anexa 4 lei'!I56/'anexa 4 lei'!$K$4</f>
        <v>3</v>
      </c>
      <c r="J56" s="187">
        <f>'anexa 4 lei'!J56/'anexa 4 lei'!$K$4</f>
        <v>3</v>
      </c>
      <c r="K56" s="555">
        <f>'anexa 4 lei'!K56/'anexa 4 lei'!$K$4</f>
        <v>3</v>
      </c>
      <c r="L56" s="551">
        <f>'anexa 4 lei'!L56/'anexa 4 lei'!$K$4</f>
        <v>4.5860000000000003</v>
      </c>
      <c r="M56" s="187">
        <f>'anexa 4 lei'!M56/'anexa 4 lei'!$K$4</f>
        <v>6</v>
      </c>
      <c r="N56" s="187">
        <f>'anexa 4 lei'!N56/'anexa 4 lei'!$K$4</f>
        <v>12</v>
      </c>
      <c r="O56" s="187">
        <f>'anexa 4 lei'!O56/'anexa 4 lei'!$K$4</f>
        <v>0</v>
      </c>
    </row>
    <row r="57" spans="1:15" hidden="1" x14ac:dyDescent="0.2">
      <c r="A57" s="826"/>
      <c r="B57" s="828"/>
      <c r="C57" s="749" t="s">
        <v>38</v>
      </c>
      <c r="D57" s="830" t="s">
        <v>162</v>
      </c>
      <c r="E57" s="830"/>
      <c r="F57" s="749">
        <f t="shared" si="0"/>
        <v>48</v>
      </c>
      <c r="G57" s="187">
        <f>'anexa 4 lei'!G57/'anexa 4 lei'!$K$4</f>
        <v>28</v>
      </c>
      <c r="H57" s="187">
        <f>'anexa 4 lei'!H57/'anexa 4 lei'!$K$4</f>
        <v>7</v>
      </c>
      <c r="I57" s="187">
        <f>'anexa 4 lei'!I57/'anexa 4 lei'!$K$4</f>
        <v>7</v>
      </c>
      <c r="J57" s="187">
        <f>'anexa 4 lei'!J57/'anexa 4 lei'!$K$4</f>
        <v>7</v>
      </c>
      <c r="K57" s="555">
        <f>'anexa 4 lei'!K57/'anexa 4 lei'!$K$4</f>
        <v>7</v>
      </c>
      <c r="L57" s="551">
        <f>'anexa 4 lei'!L57/'anexa 4 lei'!$K$4</f>
        <v>19.46</v>
      </c>
      <c r="M57" s="187">
        <f>'anexa 4 lei'!M57/'anexa 4 lei'!$K$4</f>
        <v>420</v>
      </c>
      <c r="N57" s="187">
        <f>'anexa 4 lei'!N57/'anexa 4 lei'!$K$4</f>
        <v>28</v>
      </c>
      <c r="O57" s="187">
        <f>'anexa 4 lei'!O57/'anexa 4 lei'!$K$4</f>
        <v>0</v>
      </c>
    </row>
    <row r="58" spans="1:15" hidden="1" x14ac:dyDescent="0.2">
      <c r="A58" s="826"/>
      <c r="B58" s="828"/>
      <c r="C58" s="749"/>
      <c r="D58" s="830" t="s">
        <v>381</v>
      </c>
      <c r="E58" s="830"/>
      <c r="F58" s="749">
        <f t="shared" si="0"/>
        <v>49</v>
      </c>
      <c r="G58" s="187">
        <f>'anexa 4 lei'!G58/'anexa 4 lei'!$K$4</f>
        <v>8</v>
      </c>
      <c r="H58" s="187">
        <f>'anexa 4 lei'!H58/'anexa 4 lei'!$K$4</f>
        <v>2</v>
      </c>
      <c r="I58" s="187">
        <f>'anexa 4 lei'!I58/'anexa 4 lei'!$K$4</f>
        <v>2</v>
      </c>
      <c r="J58" s="187">
        <f>'anexa 4 lei'!J58/'anexa 4 lei'!$K$4</f>
        <v>2</v>
      </c>
      <c r="K58" s="555">
        <f>'anexa 4 lei'!K58/'anexa 4 lei'!$K$4</f>
        <v>2</v>
      </c>
      <c r="L58" s="551">
        <f>'anexa 4 lei'!L58/'anexa 4 lei'!$K$4</f>
        <v>0</v>
      </c>
      <c r="M58" s="187">
        <f>'anexa 4 lei'!M58/'anexa 4 lei'!$K$4</f>
        <v>400</v>
      </c>
      <c r="N58" s="187">
        <f>'anexa 4 lei'!N58/'anexa 4 lei'!$K$4</f>
        <v>8</v>
      </c>
      <c r="O58" s="187">
        <f>'anexa 4 lei'!O58/'anexa 4 lei'!$K$4</f>
        <v>0</v>
      </c>
    </row>
    <row r="59" spans="1:15" ht="30.75" hidden="1" customHeight="1" x14ac:dyDescent="0.2">
      <c r="A59" s="826"/>
      <c r="B59" s="828"/>
      <c r="C59" s="749" t="s">
        <v>40</v>
      </c>
      <c r="D59" s="829" t="s">
        <v>432</v>
      </c>
      <c r="E59" s="829"/>
      <c r="F59" s="749">
        <f t="shared" si="0"/>
        <v>50</v>
      </c>
      <c r="G59" s="187">
        <f>'anexa 4 lei'!G59/'anexa 4 lei'!$K$4</f>
        <v>465</v>
      </c>
      <c r="H59" s="187">
        <f>'anexa 4 lei'!H59/'anexa 4 lei'!$K$4</f>
        <v>80</v>
      </c>
      <c r="I59" s="187">
        <f>'anexa 4 lei'!I59/'anexa 4 lei'!$K$4</f>
        <v>100</v>
      </c>
      <c r="J59" s="187">
        <f>'anexa 4 lei'!J59/'anexa 4 lei'!$K$4</f>
        <v>105</v>
      </c>
      <c r="K59" s="555">
        <f>'anexa 4 lei'!K59/'anexa 4 lei'!$K$4</f>
        <v>180</v>
      </c>
      <c r="L59" s="551">
        <f>'anexa 4 lei'!L59/'anexa 4 lei'!$K$4</f>
        <v>383.34399999999999</v>
      </c>
      <c r="M59" s="187">
        <f>'anexa 4 lei'!M59/'anexa 4 lei'!$K$4</f>
        <v>460</v>
      </c>
      <c r="N59" s="187">
        <f>'anexa 4 lei'!N59/'anexa 4 lei'!$K$4</f>
        <v>465</v>
      </c>
      <c r="O59" s="187">
        <f>'anexa 4 lei'!O59/'anexa 4 lei'!$K$4</f>
        <v>0</v>
      </c>
    </row>
    <row r="60" spans="1:15" hidden="1" x14ac:dyDescent="0.2">
      <c r="A60" s="826"/>
      <c r="B60" s="828"/>
      <c r="C60" s="749"/>
      <c r="D60" s="749" t="s">
        <v>278</v>
      </c>
      <c r="E60" s="750" t="s">
        <v>163</v>
      </c>
      <c r="F60" s="749">
        <f t="shared" si="0"/>
        <v>51</v>
      </c>
      <c r="G60" s="187">
        <f>'anexa 4 lei'!G60/'anexa 4 lei'!$K$4</f>
        <v>155</v>
      </c>
      <c r="H60" s="187">
        <f>'anexa 4 lei'!H60/'anexa 4 lei'!$K$4</f>
        <v>30</v>
      </c>
      <c r="I60" s="187">
        <f>'anexa 4 lei'!I60/'anexa 4 lei'!$K$4</f>
        <v>40</v>
      </c>
      <c r="J60" s="187">
        <f>'anexa 4 lei'!J60/'anexa 4 lei'!$K$4</f>
        <v>35</v>
      </c>
      <c r="K60" s="555">
        <f>'anexa 4 lei'!K60/'anexa 4 lei'!$K$4</f>
        <v>50</v>
      </c>
      <c r="L60" s="551">
        <f>'anexa 4 lei'!L60/'anexa 4 lei'!$K$4</f>
        <v>85.822999999999993</v>
      </c>
      <c r="M60" s="187">
        <f>'anexa 4 lei'!M60/'anexa 4 lei'!$K$4</f>
        <v>160</v>
      </c>
      <c r="N60" s="187">
        <f>'anexa 4 lei'!N60/'anexa 4 lei'!$K$4</f>
        <v>155</v>
      </c>
      <c r="O60" s="187">
        <f>'anexa 4 lei'!O60/'anexa 4 lei'!$K$4</f>
        <v>0</v>
      </c>
    </row>
    <row r="61" spans="1:15" ht="25.5" hidden="1" x14ac:dyDescent="0.2">
      <c r="A61" s="826"/>
      <c r="B61" s="828"/>
      <c r="C61" s="749"/>
      <c r="D61" s="749"/>
      <c r="E61" s="747" t="s">
        <v>164</v>
      </c>
      <c r="F61" s="749">
        <f t="shared" si="0"/>
        <v>52</v>
      </c>
      <c r="G61" s="187">
        <f>'anexa 4 lei'!G61/'anexa 4 lei'!$K$4</f>
        <v>0</v>
      </c>
      <c r="H61" s="187">
        <f>'anexa 4 lei'!H61/'anexa 4 lei'!$K$4</f>
        <v>0</v>
      </c>
      <c r="I61" s="187">
        <f>'anexa 4 lei'!I61/'anexa 4 lei'!$K$4</f>
        <v>0</v>
      </c>
      <c r="J61" s="187">
        <f>'anexa 4 lei'!J61/'anexa 4 lei'!$K$4</f>
        <v>0</v>
      </c>
      <c r="K61" s="555">
        <f>'anexa 4 lei'!K61/'anexa 4 lei'!$K$4</f>
        <v>0</v>
      </c>
      <c r="L61" s="551">
        <f>'anexa 4 lei'!L61/'anexa 4 lei'!$K$4</f>
        <v>0</v>
      </c>
      <c r="M61" s="187">
        <f>'anexa 4 lei'!M61/'anexa 4 lei'!$K$4</f>
        <v>0</v>
      </c>
      <c r="N61" s="187">
        <f>'anexa 4 lei'!N61/'anexa 4 lei'!$K$4</f>
        <v>0</v>
      </c>
      <c r="O61" s="187">
        <f>'anexa 4 lei'!O61/'anexa 4 lei'!$K$4</f>
        <v>0</v>
      </c>
    </row>
    <row r="62" spans="1:15" hidden="1" x14ac:dyDescent="0.2">
      <c r="A62" s="826"/>
      <c r="B62" s="828"/>
      <c r="C62" s="749"/>
      <c r="D62" s="749" t="s">
        <v>165</v>
      </c>
      <c r="E62" s="750" t="s">
        <v>166</v>
      </c>
      <c r="F62" s="749">
        <f t="shared" si="0"/>
        <v>53</v>
      </c>
      <c r="G62" s="187">
        <f>'anexa 4 lei'!G62/'anexa 4 lei'!$K$4</f>
        <v>310</v>
      </c>
      <c r="H62" s="187">
        <f>'anexa 4 lei'!H62/'anexa 4 lei'!$K$4</f>
        <v>50</v>
      </c>
      <c r="I62" s="187">
        <f>'anexa 4 lei'!I62/'anexa 4 lei'!$K$4</f>
        <v>60</v>
      </c>
      <c r="J62" s="187">
        <f>'anexa 4 lei'!J62/'anexa 4 lei'!$K$4</f>
        <v>70</v>
      </c>
      <c r="K62" s="555">
        <f>'anexa 4 lei'!K62/'anexa 4 lei'!$K$4</f>
        <v>130</v>
      </c>
      <c r="L62" s="551">
        <f>'anexa 4 lei'!L62/'anexa 4 lei'!$K$4</f>
        <v>297.52100000000002</v>
      </c>
      <c r="M62" s="187">
        <f>'anexa 4 lei'!M62/'anexa 4 lei'!$K$4</f>
        <v>300</v>
      </c>
      <c r="N62" s="187">
        <f>'anexa 4 lei'!N62/'anexa 4 lei'!$K$4</f>
        <v>310</v>
      </c>
      <c r="O62" s="187">
        <f>'anexa 4 lei'!O62/'anexa 4 lei'!$K$4</f>
        <v>0</v>
      </c>
    </row>
    <row r="63" spans="1:15" ht="38.25" hidden="1" x14ac:dyDescent="0.2">
      <c r="A63" s="826"/>
      <c r="B63" s="828"/>
      <c r="C63" s="749"/>
      <c r="D63" s="749"/>
      <c r="E63" s="747" t="s">
        <v>167</v>
      </c>
      <c r="F63" s="749">
        <f t="shared" si="0"/>
        <v>54</v>
      </c>
      <c r="G63" s="187">
        <f>'anexa 4 lei'!G63/'anexa 4 lei'!$K$4</f>
        <v>0</v>
      </c>
      <c r="H63" s="187">
        <f>'anexa 4 lei'!H63/'anexa 4 lei'!$K$4</f>
        <v>0</v>
      </c>
      <c r="I63" s="187">
        <f>'anexa 4 lei'!I63/'anexa 4 lei'!$K$4</f>
        <v>0</v>
      </c>
      <c r="J63" s="187">
        <f>'anexa 4 lei'!J63/'anexa 4 lei'!$K$4</f>
        <v>0</v>
      </c>
      <c r="K63" s="555">
        <f>'anexa 4 lei'!K63/'anexa 4 lei'!$K$4</f>
        <v>0</v>
      </c>
      <c r="L63" s="551">
        <f>'anexa 4 lei'!L63/'anexa 4 lei'!$K$4</f>
        <v>0</v>
      </c>
      <c r="M63" s="187">
        <f>'anexa 4 lei'!M63/'anexa 4 lei'!$K$4</f>
        <v>0</v>
      </c>
      <c r="N63" s="187">
        <f>'anexa 4 lei'!N63/'anexa 4 lei'!$K$4</f>
        <v>0</v>
      </c>
      <c r="O63" s="187">
        <f>'anexa 4 lei'!O63/'anexa 4 lei'!$K$4</f>
        <v>0</v>
      </c>
    </row>
    <row r="64" spans="1:15" ht="51" hidden="1" x14ac:dyDescent="0.2">
      <c r="A64" s="826"/>
      <c r="B64" s="828"/>
      <c r="C64" s="749"/>
      <c r="D64" s="749"/>
      <c r="E64" s="747" t="s">
        <v>168</v>
      </c>
      <c r="F64" s="749">
        <f t="shared" si="0"/>
        <v>55</v>
      </c>
      <c r="G64" s="187">
        <f>'anexa 4 lei'!G64/'anexa 4 lei'!$K$4</f>
        <v>0</v>
      </c>
      <c r="H64" s="187">
        <f>'anexa 4 lei'!H64/'anexa 4 lei'!$K$4</f>
        <v>0</v>
      </c>
      <c r="I64" s="187">
        <f>'anexa 4 lei'!I64/'anexa 4 lei'!$K$4</f>
        <v>0</v>
      </c>
      <c r="J64" s="187">
        <f>'anexa 4 lei'!J64/'anexa 4 lei'!$K$4</f>
        <v>0</v>
      </c>
      <c r="K64" s="555">
        <f>'anexa 4 lei'!K64/'anexa 4 lei'!$K$4</f>
        <v>0</v>
      </c>
      <c r="L64" s="551">
        <f>'anexa 4 lei'!L64/'anexa 4 lei'!$K$4</f>
        <v>0</v>
      </c>
      <c r="M64" s="187">
        <f>'anexa 4 lei'!M64/'anexa 4 lei'!$K$4</f>
        <v>0</v>
      </c>
      <c r="N64" s="187">
        <f>'anexa 4 lei'!N64/'anexa 4 lei'!$K$4</f>
        <v>0</v>
      </c>
      <c r="O64" s="187">
        <f>'anexa 4 lei'!O64/'anexa 4 lei'!$K$4</f>
        <v>0</v>
      </c>
    </row>
    <row r="65" spans="1:15" hidden="1" x14ac:dyDescent="0.2">
      <c r="A65" s="826"/>
      <c r="B65" s="828"/>
      <c r="C65" s="749"/>
      <c r="D65" s="749"/>
      <c r="E65" s="750" t="s">
        <v>169</v>
      </c>
      <c r="F65" s="749">
        <f t="shared" si="0"/>
        <v>56</v>
      </c>
      <c r="G65" s="187">
        <f>'anexa 4 lei'!G65/'anexa 4 lei'!$K$4</f>
        <v>0</v>
      </c>
      <c r="H65" s="187">
        <f>'anexa 4 lei'!H65/'anexa 4 lei'!$K$4</f>
        <v>0</v>
      </c>
      <c r="I65" s="187">
        <f>'anexa 4 lei'!I65/'anexa 4 lei'!$K$4</f>
        <v>0</v>
      </c>
      <c r="J65" s="187">
        <f>'anexa 4 lei'!J65/'anexa 4 lei'!$K$4</f>
        <v>0</v>
      </c>
      <c r="K65" s="555">
        <f>'anexa 4 lei'!K65/'anexa 4 lei'!$K$4</f>
        <v>0</v>
      </c>
      <c r="L65" s="551">
        <f>'anexa 4 lei'!L65/'anexa 4 lei'!$K$4</f>
        <v>0</v>
      </c>
      <c r="M65" s="187">
        <f>'anexa 4 lei'!M65/'anexa 4 lei'!$K$4</f>
        <v>0</v>
      </c>
      <c r="N65" s="187">
        <f>'anexa 4 lei'!N65/'anexa 4 lei'!$K$4</f>
        <v>0</v>
      </c>
      <c r="O65" s="187">
        <f>'anexa 4 lei'!O65/'anexa 4 lei'!$K$4</f>
        <v>0</v>
      </c>
    </row>
    <row r="66" spans="1:15" ht="27.75" hidden="1" customHeight="1" x14ac:dyDescent="0.2">
      <c r="A66" s="826"/>
      <c r="B66" s="828"/>
      <c r="C66" s="749" t="s">
        <v>42</v>
      </c>
      <c r="D66" s="829" t="s">
        <v>433</v>
      </c>
      <c r="E66" s="829"/>
      <c r="F66" s="749">
        <f t="shared" si="0"/>
        <v>57</v>
      </c>
      <c r="G66" s="187">
        <f>'anexa 4 lei'!G66/'anexa 4 lei'!$K$4</f>
        <v>375</v>
      </c>
      <c r="H66" s="187">
        <f>'anexa 4 lei'!H66/'anexa 4 lei'!$K$4</f>
        <v>85</v>
      </c>
      <c r="I66" s="187">
        <f>'anexa 4 lei'!I66/'anexa 4 lei'!$K$4</f>
        <v>93</v>
      </c>
      <c r="J66" s="187">
        <f>'anexa 4 lei'!J66/'anexa 4 lei'!$K$4</f>
        <v>103</v>
      </c>
      <c r="K66" s="555">
        <f>'anexa 4 lei'!K66/'anexa 4 lei'!$K$4</f>
        <v>94</v>
      </c>
      <c r="L66" s="551">
        <f>'anexa 4 lei'!L66/'anexa 4 lei'!$K$4</f>
        <v>207.898</v>
      </c>
      <c r="M66" s="187">
        <f>'anexa 4 lei'!M66/'anexa 4 lei'!$K$4</f>
        <v>381</v>
      </c>
      <c r="N66" s="187">
        <f>'anexa 4 lei'!N66/'anexa 4 lei'!$K$4</f>
        <v>375</v>
      </c>
      <c r="O66" s="187">
        <f>'anexa 4 lei'!O66/'anexa 4 lei'!$K$4</f>
        <v>0</v>
      </c>
    </row>
    <row r="67" spans="1:15" hidden="1" x14ac:dyDescent="0.2">
      <c r="A67" s="826"/>
      <c r="B67" s="828"/>
      <c r="C67" s="749"/>
      <c r="D67" s="749" t="s">
        <v>170</v>
      </c>
      <c r="E67" s="750" t="s">
        <v>236</v>
      </c>
      <c r="F67" s="749">
        <f t="shared" si="0"/>
        <v>58</v>
      </c>
      <c r="G67" s="187">
        <f>'anexa 4 lei'!G67/'anexa 4 lei'!$K$4</f>
        <v>200</v>
      </c>
      <c r="H67" s="187">
        <f>'anexa 4 lei'!H67/'anexa 4 lei'!$K$4</f>
        <v>50</v>
      </c>
      <c r="I67" s="187">
        <f>'anexa 4 lei'!I67/'anexa 4 lei'!$K$4</f>
        <v>50</v>
      </c>
      <c r="J67" s="187">
        <f>'anexa 4 lei'!J67/'anexa 4 lei'!$K$4</f>
        <v>50</v>
      </c>
      <c r="K67" s="555">
        <f>'anexa 4 lei'!K67/'anexa 4 lei'!$K$4</f>
        <v>50</v>
      </c>
      <c r="L67" s="551">
        <f>'anexa 4 lei'!L67/'anexa 4 lei'!$K$4</f>
        <v>102.8</v>
      </c>
      <c r="M67" s="187">
        <f>'anexa 4 lei'!M67/'anexa 4 lei'!$K$4</f>
        <v>200</v>
      </c>
      <c r="N67" s="187">
        <f>'anexa 4 lei'!N67/'anexa 4 lei'!$K$4</f>
        <v>200</v>
      </c>
      <c r="O67" s="187">
        <f>'anexa 4 lei'!O67/'anexa 4 lei'!$K$4</f>
        <v>0</v>
      </c>
    </row>
    <row r="68" spans="1:15" hidden="1" x14ac:dyDescent="0.2">
      <c r="A68" s="826"/>
      <c r="B68" s="828"/>
      <c r="C68" s="749"/>
      <c r="D68" s="749" t="s">
        <v>171</v>
      </c>
      <c r="E68" s="750" t="s">
        <v>382</v>
      </c>
      <c r="F68" s="749">
        <f t="shared" si="0"/>
        <v>59</v>
      </c>
      <c r="G68" s="187">
        <f>'anexa 4 lei'!G68/'anexa 4 lei'!$K$4</f>
        <v>25</v>
      </c>
      <c r="H68" s="187">
        <f>'anexa 4 lei'!H68/'anexa 4 lei'!$K$4</f>
        <v>5</v>
      </c>
      <c r="I68" s="187">
        <f>'anexa 4 lei'!I68/'anexa 4 lei'!$K$4</f>
        <v>8</v>
      </c>
      <c r="J68" s="187">
        <f>'anexa 4 lei'!J68/'anexa 4 lei'!$K$4</f>
        <v>5</v>
      </c>
      <c r="K68" s="555">
        <f>'anexa 4 lei'!K68/'anexa 4 lei'!$K$4</f>
        <v>7</v>
      </c>
      <c r="L68" s="551">
        <f>'anexa 4 lei'!L68/'anexa 4 lei'!$K$4</f>
        <v>12.8</v>
      </c>
      <c r="M68" s="187">
        <f>'anexa 4 lei'!M68/'anexa 4 lei'!$K$4</f>
        <v>20</v>
      </c>
      <c r="N68" s="187">
        <f>'anexa 4 lei'!N68/'anexa 4 lei'!$K$4</f>
        <v>25</v>
      </c>
      <c r="O68" s="187">
        <f>'anexa 4 lei'!O68/'anexa 4 lei'!$K$4</f>
        <v>0</v>
      </c>
    </row>
    <row r="69" spans="1:15" ht="25.5" hidden="1" x14ac:dyDescent="0.2">
      <c r="A69" s="826"/>
      <c r="B69" s="828"/>
      <c r="C69" s="749"/>
      <c r="D69" s="749" t="s">
        <v>172</v>
      </c>
      <c r="E69" s="747" t="s">
        <v>383</v>
      </c>
      <c r="F69" s="749">
        <f t="shared" si="0"/>
        <v>60</v>
      </c>
      <c r="G69" s="187">
        <f>'anexa 4 lei'!G69/'anexa 4 lei'!$K$4</f>
        <v>25</v>
      </c>
      <c r="H69" s="187">
        <f>'anexa 4 lei'!H69/'anexa 4 lei'!$K$4</f>
        <v>5</v>
      </c>
      <c r="I69" s="187">
        <f>'anexa 4 lei'!I69/'anexa 4 lei'!$K$4</f>
        <v>5</v>
      </c>
      <c r="J69" s="187">
        <f>'anexa 4 lei'!J69/'anexa 4 lei'!$K$4</f>
        <v>8</v>
      </c>
      <c r="K69" s="555">
        <f>'anexa 4 lei'!K69/'anexa 4 lei'!$K$4</f>
        <v>7</v>
      </c>
      <c r="L69" s="551">
        <f>'anexa 4 lei'!L69/'anexa 4 lei'!$K$4</f>
        <v>0</v>
      </c>
      <c r="M69" s="187">
        <f>'anexa 4 lei'!M69/'anexa 4 lei'!$K$4</f>
        <v>41</v>
      </c>
      <c r="N69" s="187">
        <f>'anexa 4 lei'!N69/'anexa 4 lei'!$K$4</f>
        <v>25</v>
      </c>
      <c r="O69" s="187">
        <f>'anexa 4 lei'!O69/'anexa 4 lei'!$K$4</f>
        <v>0</v>
      </c>
    </row>
    <row r="70" spans="1:15" hidden="1" x14ac:dyDescent="0.2">
      <c r="A70" s="826"/>
      <c r="B70" s="828"/>
      <c r="C70" s="749"/>
      <c r="D70" s="749" t="s">
        <v>173</v>
      </c>
      <c r="E70" s="750" t="s">
        <v>384</v>
      </c>
      <c r="F70" s="749">
        <f t="shared" si="0"/>
        <v>61</v>
      </c>
      <c r="G70" s="187">
        <f>'anexa 4 lei'!G70/'anexa 4 lei'!$K$4</f>
        <v>125</v>
      </c>
      <c r="H70" s="187">
        <f>'anexa 4 lei'!H70/'anexa 4 lei'!$K$4</f>
        <v>25</v>
      </c>
      <c r="I70" s="187">
        <f>'anexa 4 lei'!I70/'anexa 4 lei'!$K$4</f>
        <v>30</v>
      </c>
      <c r="J70" s="187">
        <f>'anexa 4 lei'!J70/'anexa 4 lei'!$K$4</f>
        <v>40</v>
      </c>
      <c r="K70" s="555">
        <f>'anexa 4 lei'!K70/'anexa 4 lei'!$K$4</f>
        <v>30</v>
      </c>
      <c r="L70" s="551">
        <f>'anexa 4 lei'!L70/'anexa 4 lei'!$K$4</f>
        <v>92.298000000000002</v>
      </c>
      <c r="M70" s="187">
        <f>'anexa 4 lei'!M70/'anexa 4 lei'!$K$4</f>
        <v>120</v>
      </c>
      <c r="N70" s="187">
        <f>'anexa 4 lei'!N70/'anexa 4 lei'!$K$4</f>
        <v>125</v>
      </c>
      <c r="O70" s="187">
        <f>'anexa 4 lei'!O70/'anexa 4 lei'!$K$4</f>
        <v>0</v>
      </c>
    </row>
    <row r="71" spans="1:15" hidden="1" x14ac:dyDescent="0.2">
      <c r="A71" s="826"/>
      <c r="B71" s="828"/>
      <c r="C71" s="749" t="s">
        <v>28</v>
      </c>
      <c r="D71" s="830" t="s">
        <v>174</v>
      </c>
      <c r="E71" s="830"/>
      <c r="F71" s="749">
        <f t="shared" si="0"/>
        <v>62</v>
      </c>
      <c r="G71" s="187">
        <f>'anexa 4 lei'!G71/'anexa 4 lei'!$K$4</f>
        <v>900</v>
      </c>
      <c r="H71" s="187">
        <f>'anexa 4 lei'!H71/'anexa 4 lei'!$K$4</f>
        <v>200</v>
      </c>
      <c r="I71" s="187">
        <f>'anexa 4 lei'!I71/'anexa 4 lei'!$K$4</f>
        <v>200</v>
      </c>
      <c r="J71" s="187">
        <f>'anexa 4 lei'!J71/'anexa 4 lei'!$K$4</f>
        <v>250</v>
      </c>
      <c r="K71" s="555">
        <f>'anexa 4 lei'!K71/'anexa 4 lei'!$K$4</f>
        <v>250</v>
      </c>
      <c r="L71" s="551">
        <f>'anexa 4 lei'!L71/'anexa 4 lei'!$K$4</f>
        <v>892.38</v>
      </c>
      <c r="M71" s="187">
        <f>'anexa 4 lei'!M71/'anexa 4 lei'!$K$4</f>
        <v>1110</v>
      </c>
      <c r="N71" s="187">
        <f>'anexa 4 lei'!N71/'anexa 4 lei'!$K$4</f>
        <v>900</v>
      </c>
      <c r="O71" s="187">
        <f>'anexa 4 lei'!O71/'anexa 4 lei'!$K$4</f>
        <v>0</v>
      </c>
    </row>
    <row r="72" spans="1:15" hidden="1" x14ac:dyDescent="0.2">
      <c r="A72" s="826"/>
      <c r="B72" s="828"/>
      <c r="C72" s="749" t="s">
        <v>34</v>
      </c>
      <c r="D72" s="830" t="s">
        <v>175</v>
      </c>
      <c r="E72" s="830"/>
      <c r="F72" s="749">
        <f t="shared" si="0"/>
        <v>63</v>
      </c>
      <c r="G72" s="187">
        <f>'anexa 4 lei'!G72/'anexa 4 lei'!$K$4</f>
        <v>260</v>
      </c>
      <c r="H72" s="187">
        <f>'anexa 4 lei'!H72/'anexa 4 lei'!$K$4</f>
        <v>50</v>
      </c>
      <c r="I72" s="187">
        <f>'anexa 4 lei'!I72/'anexa 4 lei'!$K$4</f>
        <v>65</v>
      </c>
      <c r="J72" s="187">
        <f>'anexa 4 lei'!J72/'anexa 4 lei'!$K$4</f>
        <v>80</v>
      </c>
      <c r="K72" s="555">
        <f>'anexa 4 lei'!K72/'anexa 4 lei'!$K$4</f>
        <v>65</v>
      </c>
      <c r="L72" s="551">
        <f>'anexa 4 lei'!L72/'anexa 4 lei'!$K$4</f>
        <v>95.361999999999995</v>
      </c>
      <c r="M72" s="187">
        <f>'anexa 4 lei'!M72/'anexa 4 lei'!$K$4</f>
        <v>321.66782000000006</v>
      </c>
      <c r="N72" s="187">
        <f>'anexa 4 lei'!N72/'anexa 4 lei'!$K$4</f>
        <v>260</v>
      </c>
      <c r="O72" s="187">
        <f>'anexa 4 lei'!O72/'anexa 4 lei'!$K$4</f>
        <v>0</v>
      </c>
    </row>
    <row r="73" spans="1:15" hidden="1" x14ac:dyDescent="0.2">
      <c r="A73" s="826"/>
      <c r="B73" s="828"/>
      <c r="C73" s="749"/>
      <c r="D73" s="830" t="s">
        <v>467</v>
      </c>
      <c r="E73" s="830"/>
      <c r="F73" s="749">
        <f t="shared" si="0"/>
        <v>64</v>
      </c>
      <c r="G73" s="187">
        <f>'anexa 4 lei'!G73/'anexa 4 lei'!$K$4</f>
        <v>120</v>
      </c>
      <c r="H73" s="187">
        <f>'anexa 4 lei'!H73/'anexa 4 lei'!$K$4</f>
        <v>25</v>
      </c>
      <c r="I73" s="187">
        <f>'anexa 4 lei'!I73/'anexa 4 lei'!$K$4</f>
        <v>35</v>
      </c>
      <c r="J73" s="187">
        <f>'anexa 4 lei'!J73/'anexa 4 lei'!$K$4</f>
        <v>30</v>
      </c>
      <c r="K73" s="555">
        <f>'anexa 4 lei'!K73/'anexa 4 lei'!$K$4</f>
        <v>30</v>
      </c>
      <c r="L73" s="551">
        <f>'anexa 4 lei'!L73/'anexa 4 lei'!$K$4</f>
        <v>53.439</v>
      </c>
      <c r="M73" s="187">
        <f>'anexa 4 lei'!M73/'anexa 4 lei'!$K$4</f>
        <v>89.658020000000008</v>
      </c>
      <c r="N73" s="187">
        <f>'anexa 4 lei'!N73/'anexa 4 lei'!$K$4</f>
        <v>120</v>
      </c>
      <c r="O73" s="187">
        <f>'anexa 4 lei'!O73/'anexa 4 lei'!$K$4</f>
        <v>0</v>
      </c>
    </row>
    <row r="74" spans="1:15" hidden="1" x14ac:dyDescent="0.2">
      <c r="A74" s="826"/>
      <c r="B74" s="828"/>
      <c r="C74" s="749"/>
      <c r="D74" s="831" t="s">
        <v>385</v>
      </c>
      <c r="E74" s="831"/>
      <c r="F74" s="749">
        <f t="shared" si="0"/>
        <v>65</v>
      </c>
      <c r="G74" s="187">
        <f>'anexa 4 lei'!G74/'anexa 4 lei'!$K$4</f>
        <v>65</v>
      </c>
      <c r="H74" s="187">
        <f>'anexa 4 lei'!H74/'anexa 4 lei'!$K$4</f>
        <v>15</v>
      </c>
      <c r="I74" s="187">
        <f>'anexa 4 lei'!I74/'anexa 4 lei'!$K$4</f>
        <v>15</v>
      </c>
      <c r="J74" s="187">
        <f>'anexa 4 lei'!J74/'anexa 4 lei'!$K$4</f>
        <v>20</v>
      </c>
      <c r="K74" s="555">
        <f>'anexa 4 lei'!K74/'anexa 4 lei'!$K$4</f>
        <v>15</v>
      </c>
      <c r="L74" s="551">
        <f>'anexa 4 lei'!L74/'anexa 4 lei'!$K$4</f>
        <v>41.923000000000002</v>
      </c>
      <c r="M74" s="187">
        <f>'anexa 4 lei'!M74/'anexa 4 lei'!$K$4</f>
        <v>24</v>
      </c>
      <c r="N74" s="187">
        <f>'anexa 4 lei'!N74/'anexa 4 lei'!$K$4</f>
        <v>65</v>
      </c>
      <c r="O74" s="187">
        <f>'anexa 4 lei'!O74/'anexa 4 lei'!$K$4</f>
        <v>0</v>
      </c>
    </row>
    <row r="75" spans="1:15" hidden="1" x14ac:dyDescent="0.2">
      <c r="A75" s="826"/>
      <c r="B75" s="828"/>
      <c r="C75" s="749"/>
      <c r="D75" s="831" t="s">
        <v>386</v>
      </c>
      <c r="E75" s="831"/>
      <c r="F75" s="749">
        <f t="shared" si="0"/>
        <v>66</v>
      </c>
      <c r="G75" s="187">
        <f>'anexa 4 lei'!G75/'anexa 4 lei'!$K$4</f>
        <v>55</v>
      </c>
      <c r="H75" s="187">
        <f>'anexa 4 lei'!H75/'anexa 4 lei'!$K$4</f>
        <v>10</v>
      </c>
      <c r="I75" s="187">
        <f>'anexa 4 lei'!I75/'anexa 4 lei'!$K$4</f>
        <v>20</v>
      </c>
      <c r="J75" s="187">
        <f>'anexa 4 lei'!J75/'anexa 4 lei'!$K$4</f>
        <v>10</v>
      </c>
      <c r="K75" s="555">
        <f>'anexa 4 lei'!K75/'anexa 4 lei'!$K$4</f>
        <v>15</v>
      </c>
      <c r="L75" s="551">
        <f>'anexa 4 lei'!L75/'anexa 4 lei'!$K$4</f>
        <v>11.516</v>
      </c>
      <c r="M75" s="187">
        <f>'anexa 4 lei'!M75/'anexa 4 lei'!$K$4</f>
        <v>65.658020000000008</v>
      </c>
      <c r="N75" s="187">
        <f>'anexa 4 lei'!N75/'anexa 4 lei'!$K$4</f>
        <v>55</v>
      </c>
      <c r="O75" s="187">
        <f>'anexa 4 lei'!O75/'anexa 4 lei'!$K$4</f>
        <v>0</v>
      </c>
    </row>
    <row r="76" spans="1:15" hidden="1" x14ac:dyDescent="0.2">
      <c r="A76" s="826"/>
      <c r="B76" s="828"/>
      <c r="C76" s="749" t="s">
        <v>35</v>
      </c>
      <c r="D76" s="830" t="s">
        <v>177</v>
      </c>
      <c r="E76" s="830"/>
      <c r="F76" s="749">
        <f t="shared" ref="F76:F139" si="1">F75+1</f>
        <v>67</v>
      </c>
      <c r="G76" s="187">
        <f>'anexa 4 lei'!G76/'anexa 4 lei'!$K$4</f>
        <v>296.56387999999998</v>
      </c>
      <c r="H76" s="187">
        <f>'anexa 4 lei'!H76/'anexa 4 lei'!$K$4</f>
        <v>71.70389999999999</v>
      </c>
      <c r="I76" s="187">
        <f>'anexa 4 lei'!I76/'anexa 4 lei'!$K$4</f>
        <v>71.579139999999995</v>
      </c>
      <c r="J76" s="187">
        <f>'anexa 4 lei'!J76/'anexa 4 lei'!$K$4</f>
        <v>76.553839999999994</v>
      </c>
      <c r="K76" s="555">
        <f>'anexa 4 lei'!K76/'anexa 4 lei'!$K$4</f>
        <v>76.727000000000004</v>
      </c>
      <c r="L76" s="551">
        <f>'anexa 4 lei'!L76/'anexa 4 lei'!$K$4</f>
        <v>211.518</v>
      </c>
      <c r="M76" s="187">
        <f>'anexa 4 lei'!M76/'anexa 4 lei'!$K$4</f>
        <v>266.06465776959999</v>
      </c>
      <c r="N76" s="187">
        <f>'anexa 4 lei'!N76/'anexa 4 lei'!$K$4</f>
        <v>296.56387999999998</v>
      </c>
      <c r="O76" s="187">
        <f>'anexa 4 lei'!O76/'anexa 4 lei'!$K$4</f>
        <v>0</v>
      </c>
    </row>
    <row r="77" spans="1:15" hidden="1" x14ac:dyDescent="0.2">
      <c r="A77" s="826"/>
      <c r="B77" s="828"/>
      <c r="C77" s="749" t="s">
        <v>178</v>
      </c>
      <c r="D77" s="830" t="s">
        <v>179</v>
      </c>
      <c r="E77" s="830"/>
      <c r="F77" s="749">
        <f t="shared" si="1"/>
        <v>68</v>
      </c>
      <c r="G77" s="187">
        <f>'anexa 4 lei'!G77/'anexa 4 lei'!$K$4</f>
        <v>289.39087999999998</v>
      </c>
      <c r="H77" s="187">
        <f>'anexa 4 lei'!H77/'anexa 4 lei'!$K$4</f>
        <v>62.323080000000004</v>
      </c>
      <c r="I77" s="187">
        <f>'anexa 4 lei'!I77/'anexa 4 lei'!$K$4</f>
        <v>72.377649999999988</v>
      </c>
      <c r="J77" s="187">
        <f>'anexa 4 lei'!J77/'anexa 4 lei'!$K$4</f>
        <v>72.298149999999993</v>
      </c>
      <c r="K77" s="555">
        <f>'anexa 4 lei'!K77/'anexa 4 lei'!$K$4</f>
        <v>82.391999999999996</v>
      </c>
      <c r="L77" s="551">
        <f>'anexa 4 lei'!L77/'anexa 4 lei'!$K$4</f>
        <v>208.053</v>
      </c>
      <c r="M77" s="187">
        <f>'anexa 4 lei'!M77/'anexa 4 lei'!$K$4</f>
        <v>336.95199381280003</v>
      </c>
      <c r="N77" s="187">
        <f>'anexa 4 lei'!N77/'anexa 4 lei'!$K$4</f>
        <v>289.39087999999998</v>
      </c>
      <c r="O77" s="187">
        <f>'anexa 4 lei'!O77/'anexa 4 lei'!$K$4</f>
        <v>0</v>
      </c>
    </row>
    <row r="78" spans="1:15" ht="30.75" hidden="1" customHeight="1" x14ac:dyDescent="0.2">
      <c r="A78" s="826"/>
      <c r="B78" s="828"/>
      <c r="C78" s="749" t="s">
        <v>180</v>
      </c>
      <c r="D78" s="829" t="s">
        <v>181</v>
      </c>
      <c r="E78" s="829"/>
      <c r="F78" s="749">
        <f t="shared" si="1"/>
        <v>69</v>
      </c>
      <c r="G78" s="187">
        <f>'anexa 4 lei'!G78/'anexa 4 lei'!$K$4</f>
        <v>2117.8526499999998</v>
      </c>
      <c r="H78" s="187">
        <f>'anexa 4 lei'!H78/'anexa 4 lei'!$K$4</f>
        <v>469.44403000000005</v>
      </c>
      <c r="I78" s="187">
        <f>'anexa 4 lei'!I78/'anexa 4 lei'!$K$4</f>
        <v>504.21542999999997</v>
      </c>
      <c r="J78" s="187">
        <f>'anexa 4 lei'!J78/'anexa 4 lei'!$K$4</f>
        <v>576.59652000000006</v>
      </c>
      <c r="K78" s="555">
        <f>'anexa 4 lei'!K78/'anexa 4 lei'!$K$4</f>
        <v>567.59667000000002</v>
      </c>
      <c r="L78" s="551">
        <f>'anexa 4 lei'!L78/'anexa 4 lei'!$K$4</f>
        <v>1390.3230000000001</v>
      </c>
      <c r="M78" s="187">
        <f>'anexa 4 lei'!M78/'anexa 4 lei'!$K$4</f>
        <v>2190.2759192039998</v>
      </c>
      <c r="N78" s="187">
        <f>'anexa 4 lei'!N78/'anexa 4 lei'!$K$4</f>
        <v>2117.8526499999998</v>
      </c>
      <c r="O78" s="187">
        <f>'anexa 4 lei'!O78/'anexa 4 lei'!$K$4</f>
        <v>0</v>
      </c>
    </row>
    <row r="79" spans="1:15" hidden="1" x14ac:dyDescent="0.2">
      <c r="A79" s="826"/>
      <c r="B79" s="828"/>
      <c r="C79" s="749"/>
      <c r="D79" s="749" t="s">
        <v>56</v>
      </c>
      <c r="E79" s="750" t="s">
        <v>182</v>
      </c>
      <c r="F79" s="749">
        <f t="shared" si="1"/>
        <v>70</v>
      </c>
      <c r="G79" s="187">
        <f>'anexa 4 lei'!G79/'anexa 4 lei'!$K$4</f>
        <v>910</v>
      </c>
      <c r="H79" s="187">
        <f>'anexa 4 lei'!H79/'anexa 4 lei'!$K$4</f>
        <v>225</v>
      </c>
      <c r="I79" s="187">
        <f>'anexa 4 lei'!I79/'anexa 4 lei'!$K$4</f>
        <v>225</v>
      </c>
      <c r="J79" s="187">
        <f>'anexa 4 lei'!J79/'anexa 4 lei'!$K$4</f>
        <v>230</v>
      </c>
      <c r="K79" s="555">
        <f>'anexa 4 lei'!K79/'anexa 4 lei'!$K$4</f>
        <v>230</v>
      </c>
      <c r="L79" s="551">
        <f>'anexa 4 lei'!L79/'anexa 4 lei'!$K$4</f>
        <v>590</v>
      </c>
      <c r="M79" s="187">
        <f>'anexa 4 lei'!M79/'anexa 4 lei'!$K$4</f>
        <v>600</v>
      </c>
      <c r="N79" s="187">
        <f>'anexa 4 lei'!N79/'anexa 4 lei'!$K$4</f>
        <v>910</v>
      </c>
      <c r="O79" s="187">
        <f>'anexa 4 lei'!O79/'anexa 4 lei'!$K$4</f>
        <v>0</v>
      </c>
    </row>
    <row r="80" spans="1:15" ht="25.5" hidden="1" x14ac:dyDescent="0.2">
      <c r="A80" s="826"/>
      <c r="B80" s="828"/>
      <c r="C80" s="749"/>
      <c r="D80" s="749" t="s">
        <v>57</v>
      </c>
      <c r="E80" s="747" t="s">
        <v>229</v>
      </c>
      <c r="F80" s="749">
        <f t="shared" si="1"/>
        <v>71</v>
      </c>
      <c r="G80" s="187">
        <f>'anexa 4 lei'!G80/'anexa 4 lei'!$K$4</f>
        <v>375.5</v>
      </c>
      <c r="H80" s="187">
        <f>'anexa 4 lei'!H80/'anexa 4 lei'!$K$4</f>
        <v>50.125</v>
      </c>
      <c r="I80" s="187">
        <f>'anexa 4 lei'!I80/'anexa 4 lei'!$K$4</f>
        <v>75.125</v>
      </c>
      <c r="J80" s="187">
        <f>'anexa 4 lei'!J80/'anexa 4 lei'!$K$4</f>
        <v>100.125</v>
      </c>
      <c r="K80" s="555">
        <f>'anexa 4 lei'!K80/'anexa 4 lei'!$K$4</f>
        <v>150.125</v>
      </c>
      <c r="L80" s="551">
        <f>'anexa 4 lei'!L80/'anexa 4 lei'!$K$4</f>
        <v>81.96</v>
      </c>
      <c r="M80" s="187">
        <f>'anexa 4 lei'!M80/'anexa 4 lei'!$K$4</f>
        <v>450.28699999999998</v>
      </c>
      <c r="N80" s="187">
        <f>'anexa 4 lei'!N80/'anexa 4 lei'!$K$4</f>
        <v>375.5</v>
      </c>
      <c r="O80" s="187">
        <f>'anexa 4 lei'!O80/'anexa 4 lei'!$K$4</f>
        <v>0</v>
      </c>
    </row>
    <row r="81" spans="1:15" hidden="1" x14ac:dyDescent="0.2">
      <c r="A81" s="826"/>
      <c r="B81" s="828"/>
      <c r="C81" s="749"/>
      <c r="D81" s="749" t="s">
        <v>58</v>
      </c>
      <c r="E81" s="750" t="s">
        <v>183</v>
      </c>
      <c r="F81" s="749">
        <f t="shared" si="1"/>
        <v>72</v>
      </c>
      <c r="G81" s="187">
        <f>'anexa 4 lei'!G81/'anexa 4 lei'!$K$4</f>
        <v>312.59667999999999</v>
      </c>
      <c r="H81" s="187">
        <f>'anexa 4 lei'!H81/'anexa 4 lei'!$K$4</f>
        <v>50.641669999999998</v>
      </c>
      <c r="I81" s="187">
        <f>'anexa 4 lei'!I81/'anexa 4 lei'!$K$4</f>
        <v>60.641669999999998</v>
      </c>
      <c r="J81" s="187">
        <f>'anexa 4 lei'!J81/'anexa 4 lei'!$K$4</f>
        <v>100.65666999999999</v>
      </c>
      <c r="K81" s="555">
        <f>'anexa 4 lei'!K81/'anexa 4 lei'!$K$4</f>
        <v>100.65666999999999</v>
      </c>
      <c r="L81" s="551">
        <f>'anexa 4 lei'!L81/'anexa 4 lei'!$K$4</f>
        <v>84.423000000000002</v>
      </c>
      <c r="M81" s="187">
        <f>'anexa 4 lei'!M81/'anexa 4 lei'!$K$4</f>
        <v>180.17993952640001</v>
      </c>
      <c r="N81" s="187">
        <f>'anexa 4 lei'!N81/'anexa 4 lei'!$K$4</f>
        <v>312.59667999999999</v>
      </c>
      <c r="O81" s="187">
        <f>'anexa 4 lei'!O81/'anexa 4 lei'!$K$4</f>
        <v>0</v>
      </c>
    </row>
    <row r="82" spans="1:15" ht="25.5" hidden="1" x14ac:dyDescent="0.2">
      <c r="A82" s="826"/>
      <c r="B82" s="828"/>
      <c r="C82" s="749"/>
      <c r="D82" s="749" t="s">
        <v>59</v>
      </c>
      <c r="E82" s="747" t="s">
        <v>184</v>
      </c>
      <c r="F82" s="749">
        <f t="shared" si="1"/>
        <v>73</v>
      </c>
      <c r="G82" s="187">
        <f>'anexa 4 lei'!G82/'anexa 4 lei'!$K$4</f>
        <v>0</v>
      </c>
      <c r="H82" s="187">
        <f>'anexa 4 lei'!H82/'anexa 4 lei'!$K$4</f>
        <v>0</v>
      </c>
      <c r="I82" s="187">
        <f>'anexa 4 lei'!I82/'anexa 4 lei'!$K$4</f>
        <v>0</v>
      </c>
      <c r="J82" s="187">
        <f>'anexa 4 lei'!J82/'anexa 4 lei'!$K$4</f>
        <v>0</v>
      </c>
      <c r="K82" s="555">
        <f>'anexa 4 lei'!K82/'anexa 4 lei'!$K$4</f>
        <v>0</v>
      </c>
      <c r="L82" s="551">
        <f>'anexa 4 lei'!L82/'anexa 4 lei'!$K$4</f>
        <v>0</v>
      </c>
      <c r="M82" s="187">
        <f>'anexa 4 lei'!M82/'anexa 4 lei'!$K$4</f>
        <v>113</v>
      </c>
      <c r="N82" s="187">
        <f>'anexa 4 lei'!N82/'anexa 4 lei'!$K$4</f>
        <v>0</v>
      </c>
      <c r="O82" s="187">
        <f>'anexa 4 lei'!O82/'anexa 4 lei'!$K$4</f>
        <v>0</v>
      </c>
    </row>
    <row r="83" spans="1:15" hidden="1" x14ac:dyDescent="0.2">
      <c r="A83" s="826"/>
      <c r="B83" s="828"/>
      <c r="C83" s="749"/>
      <c r="D83" s="749"/>
      <c r="E83" s="750" t="s">
        <v>387</v>
      </c>
      <c r="F83" s="749">
        <f t="shared" si="1"/>
        <v>74</v>
      </c>
      <c r="G83" s="187">
        <f>'anexa 4 lei'!G83/'anexa 4 lei'!$K$4</f>
        <v>0</v>
      </c>
      <c r="H83" s="187">
        <f>'anexa 4 lei'!H83/'anexa 4 lei'!$K$4</f>
        <v>0</v>
      </c>
      <c r="I83" s="187">
        <f>'anexa 4 lei'!I83/'anexa 4 lei'!$K$4</f>
        <v>0</v>
      </c>
      <c r="J83" s="187">
        <f>'anexa 4 lei'!J83/'anexa 4 lei'!$K$4</f>
        <v>0</v>
      </c>
      <c r="K83" s="555">
        <f>'anexa 4 lei'!K83/'anexa 4 lei'!$K$4</f>
        <v>0</v>
      </c>
      <c r="L83" s="551">
        <f>'anexa 4 lei'!L83/'anexa 4 lei'!$K$4</f>
        <v>0</v>
      </c>
      <c r="M83" s="187">
        <f>'anexa 4 lei'!M83/'anexa 4 lei'!$K$4</f>
        <v>90</v>
      </c>
      <c r="N83" s="187">
        <f>'anexa 4 lei'!N83/'anexa 4 lei'!$K$4</f>
        <v>0</v>
      </c>
      <c r="O83" s="187">
        <f>'anexa 4 lei'!O83/'anexa 4 lei'!$K$4</f>
        <v>0</v>
      </c>
    </row>
    <row r="84" spans="1:15" hidden="1" x14ac:dyDescent="0.2">
      <c r="A84" s="826"/>
      <c r="B84" s="828"/>
      <c r="C84" s="749"/>
      <c r="D84" s="749" t="s">
        <v>60</v>
      </c>
      <c r="E84" s="750" t="s">
        <v>545</v>
      </c>
      <c r="F84" s="749">
        <f t="shared" si="1"/>
        <v>75</v>
      </c>
      <c r="G84" s="187">
        <f>'anexa 4 lei'!G84/'anexa 4 lei'!$K$4</f>
        <v>511.75596999999999</v>
      </c>
      <c r="H84" s="187">
        <f>'anexa 4 lei'!H84/'anexa 4 lei'!$K$4</f>
        <v>141.67735999999999</v>
      </c>
      <c r="I84" s="187">
        <f>'anexa 4 lei'!I84/'anexa 4 lei'!$K$4</f>
        <v>141.44876000000002</v>
      </c>
      <c r="J84" s="187">
        <f>'anexa 4 lei'!J84/'anexa 4 lei'!$K$4</f>
        <v>143.81485000000001</v>
      </c>
      <c r="K84" s="555">
        <f>'anexa 4 lei'!K84/'anexa 4 lei'!$K$4</f>
        <v>84.814999999999998</v>
      </c>
      <c r="L84" s="551">
        <f>'anexa 4 lei'!L84/'anexa 4 lei'!$K$4</f>
        <v>622.69000000000005</v>
      </c>
      <c r="M84" s="187">
        <f>'anexa 4 lei'!M84/'anexa 4 lei'!$K$4</f>
        <v>731.80897967760006</v>
      </c>
      <c r="N84" s="187">
        <f>'anexa 4 lei'!N84/'anexa 4 lei'!$K$4</f>
        <v>511.75596999999999</v>
      </c>
      <c r="O84" s="187">
        <f>'anexa 4 lei'!O84/'anexa 4 lei'!$K$4</f>
        <v>0</v>
      </c>
    </row>
    <row r="85" spans="1:15" ht="51" hidden="1" x14ac:dyDescent="0.2">
      <c r="A85" s="826"/>
      <c r="B85" s="828"/>
      <c r="C85" s="749"/>
      <c r="D85" s="749" t="s">
        <v>61</v>
      </c>
      <c r="E85" s="747" t="s">
        <v>185</v>
      </c>
      <c r="F85" s="749">
        <f t="shared" si="1"/>
        <v>76</v>
      </c>
      <c r="G85" s="187">
        <f>'anexa 4 lei'!G85/'anexa 4 lei'!$K$4</f>
        <v>0</v>
      </c>
      <c r="H85" s="187">
        <f>'anexa 4 lei'!H85/'anexa 4 lei'!$K$4</f>
        <v>0</v>
      </c>
      <c r="I85" s="187">
        <f>'anexa 4 lei'!I85/'anexa 4 lei'!$K$4</f>
        <v>0</v>
      </c>
      <c r="J85" s="187">
        <f>'anexa 4 lei'!J85/'anexa 4 lei'!$K$4</f>
        <v>0</v>
      </c>
      <c r="K85" s="555">
        <f>'anexa 4 lei'!K85/'anexa 4 lei'!$K$4</f>
        <v>0</v>
      </c>
      <c r="L85" s="551">
        <f>'anexa 4 lei'!L85/'anexa 4 lei'!$K$4</f>
        <v>0</v>
      </c>
      <c r="M85" s="187">
        <f>'anexa 4 lei'!M85/'anexa 4 lei'!$K$4</f>
        <v>100</v>
      </c>
      <c r="N85" s="187">
        <f>'anexa 4 lei'!N85/'anexa 4 lei'!$K$4</f>
        <v>0</v>
      </c>
      <c r="O85" s="187">
        <f>'anexa 4 lei'!O85/'anexa 4 lei'!$K$4</f>
        <v>0</v>
      </c>
    </row>
    <row r="86" spans="1:15" ht="25.5" hidden="1" x14ac:dyDescent="0.2">
      <c r="A86" s="826"/>
      <c r="B86" s="828"/>
      <c r="C86" s="749"/>
      <c r="D86" s="749" t="s">
        <v>62</v>
      </c>
      <c r="E86" s="747" t="s">
        <v>186</v>
      </c>
      <c r="F86" s="749">
        <f t="shared" si="1"/>
        <v>77</v>
      </c>
      <c r="G86" s="187">
        <f>'anexa 4 lei'!G86/'anexa 4 lei'!$K$4</f>
        <v>8</v>
      </c>
      <c r="H86" s="187">
        <f>'anexa 4 lei'!H86/'anexa 4 lei'!$K$4</f>
        <v>2</v>
      </c>
      <c r="I86" s="187">
        <f>'anexa 4 lei'!I86/'anexa 4 lei'!$K$4</f>
        <v>2</v>
      </c>
      <c r="J86" s="187">
        <f>'anexa 4 lei'!J86/'anexa 4 lei'!$K$4</f>
        <v>2</v>
      </c>
      <c r="K86" s="555">
        <f>'anexa 4 lei'!K86/'anexa 4 lei'!$K$4</f>
        <v>2</v>
      </c>
      <c r="L86" s="551">
        <f>'anexa 4 lei'!L86/'anexa 4 lei'!$K$4</f>
        <v>11.25</v>
      </c>
      <c r="M86" s="187">
        <f>'anexa 4 lei'!M86/'anexa 4 lei'!$K$4</f>
        <v>15</v>
      </c>
      <c r="N86" s="187">
        <f>'anexa 4 lei'!N86/'anexa 4 lei'!$K$4</f>
        <v>8</v>
      </c>
      <c r="O86" s="187">
        <f>'anexa 4 lei'!O86/'anexa 4 lei'!$K$4</f>
        <v>0</v>
      </c>
    </row>
    <row r="87" spans="1:15" ht="16.5" customHeight="1" x14ac:dyDescent="0.2">
      <c r="A87" s="826"/>
      <c r="B87" s="828"/>
      <c r="C87" s="749" t="s">
        <v>344</v>
      </c>
      <c r="D87" s="831" t="s">
        <v>149</v>
      </c>
      <c r="E87" s="831"/>
      <c r="F87" s="749">
        <f t="shared" si="1"/>
        <v>78</v>
      </c>
      <c r="G87" s="187">
        <f>'anexa 4 lei'!G87/'anexa 4 lei'!$K$4</f>
        <v>4132.1971899999999</v>
      </c>
      <c r="H87" s="187">
        <f>'anexa 4 lei'!H87/'anexa 4 lei'!$K$4</f>
        <v>771.87738999999999</v>
      </c>
      <c r="I87" s="187">
        <f>'anexa 4 lei'!I87/'anexa 4 lei'!$K$4</f>
        <v>916.32398000000001</v>
      </c>
      <c r="J87" s="187">
        <f>'anexa 4 lei'!J87/'anexa 4 lei'!$K$4</f>
        <v>1250.26982</v>
      </c>
      <c r="K87" s="555">
        <f>'anexa 4 lei'!K87/'anexa 4 lei'!$K$4</f>
        <v>1193.7260000000001</v>
      </c>
      <c r="L87" s="551">
        <f>'anexa 4 lei'!L87/'anexa 4 lei'!$K$4</f>
        <v>3344.6289999999999</v>
      </c>
      <c r="M87" s="187">
        <f>'anexa 4 lei'!M87/'anexa 4 lei'!$K$4</f>
        <v>3315.4816007335994</v>
      </c>
      <c r="N87" s="187">
        <f>'anexa 4 lei'!N87/'anexa 4 lei'!$K$4</f>
        <v>3817.1971899999999</v>
      </c>
      <c r="O87" s="187">
        <f>'anexa 4 lei'!O87/'anexa 4 lei'!$K$4</f>
        <v>315</v>
      </c>
    </row>
    <row r="88" spans="1:15" ht="50.25" customHeight="1" x14ac:dyDescent="0.2">
      <c r="A88" s="826"/>
      <c r="B88" s="828"/>
      <c r="C88" s="829" t="s">
        <v>468</v>
      </c>
      <c r="D88" s="829"/>
      <c r="E88" s="829"/>
      <c r="F88" s="749">
        <f t="shared" si="1"/>
        <v>79</v>
      </c>
      <c r="G88" s="187">
        <f>'anexa 4 lei'!G88/'anexa 4 lei'!$K$4</f>
        <v>13805.724490000001</v>
      </c>
      <c r="H88" s="187">
        <f>'anexa 4 lei'!H88/'anexa 4 lei'!$K$4</f>
        <v>2056.8870400000001</v>
      </c>
      <c r="I88" s="187">
        <f>'anexa 4 lei'!I88/'anexa 4 lei'!$K$4</f>
        <v>2068.7092600000001</v>
      </c>
      <c r="J88" s="187">
        <f>'anexa 4 lei'!J88/'anexa 4 lei'!$K$4</f>
        <v>4844.5095300000003</v>
      </c>
      <c r="K88" s="555">
        <f>'anexa 4 lei'!K88/'anexa 4 lei'!$K$4</f>
        <v>4835.6186600000001</v>
      </c>
      <c r="L88" s="551">
        <f>'anexa 4 lei'!L88/'anexa 4 lei'!$K$4</f>
        <v>7611.5870000000004</v>
      </c>
      <c r="M88" s="187">
        <f>'anexa 4 lei'!M88/'anexa 4 lei'!$K$4</f>
        <v>8857.3574429902001</v>
      </c>
      <c r="N88" s="187">
        <f>'anexa 4 lei'!N88/'anexa 4 lei'!$K$4</f>
        <v>8441.5574900000011</v>
      </c>
      <c r="O88" s="187">
        <f>'anexa 4 lei'!O88/'anexa 4 lei'!$K$4</f>
        <v>5364.1670000000004</v>
      </c>
    </row>
    <row r="89" spans="1:15" ht="13.5" customHeight="1" x14ac:dyDescent="0.2">
      <c r="A89" s="826"/>
      <c r="B89" s="828"/>
      <c r="C89" s="749" t="s">
        <v>27</v>
      </c>
      <c r="D89" s="837" t="s">
        <v>188</v>
      </c>
      <c r="E89" s="837"/>
      <c r="F89" s="749">
        <f t="shared" si="1"/>
        <v>80</v>
      </c>
      <c r="G89" s="187">
        <f>'anexa 4 lei'!G89/'anexa 4 lei'!$K$4</f>
        <v>0</v>
      </c>
      <c r="H89" s="187">
        <f>'anexa 4 lei'!H89/'anexa 4 lei'!$K$4</f>
        <v>0</v>
      </c>
      <c r="I89" s="187">
        <f>'anexa 4 lei'!I89/'anexa 4 lei'!$K$4</f>
        <v>0</v>
      </c>
      <c r="J89" s="187">
        <f>'anexa 4 lei'!J89/'anexa 4 lei'!$K$4</f>
        <v>0</v>
      </c>
      <c r="K89" s="555">
        <f>'anexa 4 lei'!K89/'anexa 4 lei'!$K$4</f>
        <v>0</v>
      </c>
      <c r="L89" s="551">
        <f>'anexa 4 lei'!L89/'anexa 4 lei'!$K$4</f>
        <v>0</v>
      </c>
      <c r="M89" s="187">
        <f>'anexa 4 lei'!M89/'anexa 4 lei'!$K$4</f>
        <v>0</v>
      </c>
      <c r="N89" s="187">
        <f>'anexa 4 lei'!N89/'anexa 4 lei'!$K$4</f>
        <v>0</v>
      </c>
      <c r="O89" s="187">
        <f>'anexa 4 lei'!O89/'anexa 4 lei'!$K$4</f>
        <v>0</v>
      </c>
    </row>
    <row r="90" spans="1:15" ht="13.5" customHeight="1" thickBot="1" x14ac:dyDescent="0.25">
      <c r="A90" s="826"/>
      <c r="B90" s="828"/>
      <c r="C90" s="749" t="s">
        <v>38</v>
      </c>
      <c r="D90" s="837" t="s">
        <v>388</v>
      </c>
      <c r="E90" s="837"/>
      <c r="F90" s="749">
        <f t="shared" si="1"/>
        <v>81</v>
      </c>
      <c r="G90" s="187">
        <f>'anexa 4 lei'!G90/'anexa 4 lei'!$K$4</f>
        <v>10700</v>
      </c>
      <c r="H90" s="187">
        <f>'anexa 4 lei'!H90/'anexa 4 lei'!$K$4</f>
        <v>1330</v>
      </c>
      <c r="I90" s="187">
        <f>'anexa 4 lei'!I90/'anexa 4 lei'!$K$4</f>
        <v>1335.8330000000001</v>
      </c>
      <c r="J90" s="187">
        <f>'anexa 4 lei'!J90/'anexa 4 lei'!$K$4</f>
        <v>4035</v>
      </c>
      <c r="K90" s="555">
        <f>'anexa 4 lei'!K90/'anexa 4 lei'!$K$4</f>
        <v>3999.1669999999999</v>
      </c>
      <c r="L90" s="551">
        <f>'anexa 4 lei'!L90/'anexa 4 lei'!$K$4</f>
        <v>5326.6679999999997</v>
      </c>
      <c r="M90" s="187">
        <f>'anexa 4 lei'!M90/'anexa 4 lei'!$K$4</f>
        <v>6185.3544865260001</v>
      </c>
      <c r="N90" s="187">
        <f>'anexa 4 lei'!N90/'anexa 4 lei'!$K$4</f>
        <v>5335.8329999999996</v>
      </c>
      <c r="O90" s="187">
        <f>'anexa 4 lei'!O90/'anexa 4 lei'!$K$4</f>
        <v>5364.1670000000004</v>
      </c>
    </row>
    <row r="91" spans="1:15" hidden="1" x14ac:dyDescent="0.2">
      <c r="A91" s="826"/>
      <c r="B91" s="828"/>
      <c r="C91" s="749" t="s">
        <v>40</v>
      </c>
      <c r="D91" s="830" t="s">
        <v>41</v>
      </c>
      <c r="E91" s="830"/>
      <c r="F91" s="749">
        <f t="shared" si="1"/>
        <v>82</v>
      </c>
      <c r="G91" s="187">
        <f>'anexa 4 lei'!G91/'anexa 4 lei'!$K$4</f>
        <v>40</v>
      </c>
      <c r="H91" s="187">
        <f>'anexa 4 lei'!H91/'anexa 4 lei'!$K$4</f>
        <v>10</v>
      </c>
      <c r="I91" s="187">
        <f>'anexa 4 lei'!I91/'anexa 4 lei'!$K$4</f>
        <v>10</v>
      </c>
      <c r="J91" s="187">
        <f>'anexa 4 lei'!J91/'anexa 4 lei'!$K$4</f>
        <v>10</v>
      </c>
      <c r="K91" s="555">
        <f>'anexa 4 lei'!K91/'anexa 4 lei'!$K$4</f>
        <v>10</v>
      </c>
      <c r="L91" s="551">
        <f>'anexa 4 lei'!L91/'anexa 4 lei'!$K$4</f>
        <v>24.45</v>
      </c>
      <c r="M91" s="187">
        <f>'anexa 4 lei'!M91/'anexa 4 lei'!$K$4</f>
        <v>25</v>
      </c>
      <c r="N91" s="187">
        <f>'anexa 4 lei'!N91/'anexa 4 lei'!$K$4</f>
        <v>40</v>
      </c>
      <c r="O91" s="187">
        <f>'anexa 4 lei'!O91/'anexa 4 lei'!$K$4</f>
        <v>0</v>
      </c>
    </row>
    <row r="92" spans="1:15" ht="13.5" hidden="1" thickBot="1" x14ac:dyDescent="0.25">
      <c r="A92" s="826"/>
      <c r="B92" s="828"/>
      <c r="C92" s="749" t="s">
        <v>42</v>
      </c>
      <c r="D92" s="830" t="s">
        <v>43</v>
      </c>
      <c r="E92" s="830"/>
      <c r="F92" s="749">
        <f t="shared" si="1"/>
        <v>83</v>
      </c>
      <c r="G92" s="187">
        <f>'anexa 4 lei'!G92/'anexa 4 lei'!$K$4</f>
        <v>83.31738</v>
      </c>
      <c r="H92" s="187">
        <f>'anexa 4 lei'!H92/'anexa 4 lei'!$K$4</f>
        <v>21.392379999999999</v>
      </c>
      <c r="I92" s="187">
        <f>'anexa 4 lei'!I92/'anexa 4 lei'!$K$4</f>
        <v>19.225000000000001</v>
      </c>
      <c r="J92" s="187">
        <f>'anexa 4 lei'!J92/'anexa 4 lei'!$K$4</f>
        <v>20.574999999999999</v>
      </c>
      <c r="K92" s="555">
        <f>'anexa 4 lei'!K92/'anexa 4 lei'!$K$4</f>
        <v>22.125</v>
      </c>
      <c r="L92" s="551">
        <f>'anexa 4 lei'!L92/'anexa 4 lei'!$K$4</f>
        <v>81.472999999999999</v>
      </c>
      <c r="M92" s="187">
        <f>'anexa 4 lei'!M92/'anexa 4 lei'!$K$4</f>
        <v>123.6555930048</v>
      </c>
      <c r="N92" s="187">
        <f>'anexa 4 lei'!N92/'anexa 4 lei'!$K$4</f>
        <v>83.31738</v>
      </c>
      <c r="O92" s="187">
        <f>'anexa 4 lei'!O92/'anexa 4 lei'!$K$4</f>
        <v>0</v>
      </c>
    </row>
    <row r="93" spans="1:15" hidden="1" x14ac:dyDescent="0.2">
      <c r="A93" s="832"/>
      <c r="B93" s="828"/>
      <c r="C93" s="749" t="s">
        <v>28</v>
      </c>
      <c r="D93" s="830" t="s">
        <v>44</v>
      </c>
      <c r="E93" s="830"/>
      <c r="F93" s="749">
        <f t="shared" si="1"/>
        <v>84</v>
      </c>
      <c r="G93" s="187">
        <f>'anexa 4 lei'!G93/'anexa 4 lei'!$K$4</f>
        <v>6</v>
      </c>
      <c r="H93" s="187">
        <f>'anexa 4 lei'!H93/'anexa 4 lei'!$K$4</f>
        <v>2</v>
      </c>
      <c r="I93" s="187">
        <f>'anexa 4 lei'!I93/'anexa 4 lei'!$K$4</f>
        <v>1</v>
      </c>
      <c r="J93" s="187">
        <f>'anexa 4 lei'!J93/'anexa 4 lei'!$K$4</f>
        <v>1</v>
      </c>
      <c r="K93" s="555">
        <f>'anexa 4 lei'!K93/'anexa 4 lei'!$K$4</f>
        <v>2</v>
      </c>
      <c r="L93" s="551">
        <f>'anexa 4 lei'!L93/'anexa 4 lei'!$K$4</f>
        <v>0.75</v>
      </c>
      <c r="M93" s="187">
        <f>'anexa 4 lei'!M93/'anexa 4 lei'!$K$4</f>
        <v>5</v>
      </c>
      <c r="N93" s="187">
        <f>'anexa 4 lei'!N93/'anexa 4 lei'!$K$4</f>
        <v>6</v>
      </c>
      <c r="O93" s="187">
        <f>'anexa 4 lei'!O93/'anexa 4 lei'!$K$4</f>
        <v>0</v>
      </c>
    </row>
    <row r="94" spans="1:15" hidden="1" x14ac:dyDescent="0.2">
      <c r="A94" s="826"/>
      <c r="B94" s="828"/>
      <c r="C94" s="749" t="s">
        <v>34</v>
      </c>
      <c r="D94" s="830" t="s">
        <v>45</v>
      </c>
      <c r="E94" s="830"/>
      <c r="F94" s="749">
        <f t="shared" si="1"/>
        <v>85</v>
      </c>
      <c r="G94" s="187">
        <f>'anexa 4 lei'!G94/'anexa 4 lei'!$K$4</f>
        <v>2976.4071099999996</v>
      </c>
      <c r="H94" s="187">
        <f>'anexa 4 lei'!H94/'anexa 4 lei'!$K$4</f>
        <v>693.49466000000007</v>
      </c>
      <c r="I94" s="187">
        <f>'anexa 4 lei'!I94/'anexa 4 lei'!$K$4</f>
        <v>702.65125999999998</v>
      </c>
      <c r="J94" s="187">
        <f>'anexa 4 lei'!J94/'anexa 4 lei'!$K$4</f>
        <v>777.93453</v>
      </c>
      <c r="K94" s="555">
        <f>'anexa 4 lei'!K94/'anexa 4 lei'!$K$4</f>
        <v>802.32666000000006</v>
      </c>
      <c r="L94" s="551">
        <f>'anexa 4 lei'!L94/'anexa 4 lei'!$K$4</f>
        <v>2178.2460000000001</v>
      </c>
      <c r="M94" s="187">
        <f>'anexa 4 lei'!M94/'anexa 4 lei'!$K$4</f>
        <v>2518.3473634593997</v>
      </c>
      <c r="N94" s="187">
        <f>'anexa 4 lei'!N94/'anexa 4 lei'!$K$4</f>
        <v>2976.4071099999996</v>
      </c>
      <c r="O94" s="187">
        <f>'anexa 4 lei'!O94/'anexa 4 lei'!$K$4</f>
        <v>0</v>
      </c>
    </row>
    <row r="95" spans="1:15" ht="36" hidden="1" customHeight="1" x14ac:dyDescent="0.2">
      <c r="A95" s="826"/>
      <c r="B95" s="828"/>
      <c r="C95" s="829" t="s">
        <v>510</v>
      </c>
      <c r="D95" s="829"/>
      <c r="E95" s="829"/>
      <c r="F95" s="749">
        <f t="shared" si="1"/>
        <v>86</v>
      </c>
      <c r="G95" s="187">
        <f>'anexa 4 lei'!G95/'anexa 4 lei'!$K$4</f>
        <v>46664.439328879998</v>
      </c>
      <c r="H95" s="187">
        <f>'anexa 4 lei'!H95/'anexa 4 lei'!$K$4</f>
        <v>9915.835894519998</v>
      </c>
      <c r="I95" s="187">
        <f>'anexa 4 lei'!I95/'anexa 4 lei'!$K$4</f>
        <v>14137.74713534</v>
      </c>
      <c r="J95" s="187">
        <f>'anexa 4 lei'!J95/'anexa 4 lei'!$K$4</f>
        <v>10649.60998608</v>
      </c>
      <c r="K95" s="555">
        <f>'anexa 4 lei'!K95/'anexa 4 lei'!$K$4</f>
        <v>11961.24631294</v>
      </c>
      <c r="L95" s="551">
        <f>'anexa 4 lei'!L95/'anexa 4 lei'!$K$4</f>
        <v>44830.120634520004</v>
      </c>
      <c r="M95" s="187">
        <f>'anexa 4 lei'!M95/'anexa 4 lei'!$K$4</f>
        <v>45930.056912022003</v>
      </c>
      <c r="N95" s="187">
        <f>'anexa 4 lei'!N95/'anexa 4 lei'!$K$4</f>
        <v>46664.439328879998</v>
      </c>
      <c r="O95" s="187">
        <f>'anexa 4 lei'!O95/'anexa 4 lei'!$K$4</f>
        <v>0</v>
      </c>
    </row>
    <row r="96" spans="1:15" ht="36" hidden="1" customHeight="1" x14ac:dyDescent="0.2">
      <c r="A96" s="826"/>
      <c r="B96" s="828"/>
      <c r="C96" s="163" t="s">
        <v>396</v>
      </c>
      <c r="D96" s="838" t="s">
        <v>413</v>
      </c>
      <c r="E96" s="838"/>
      <c r="F96" s="749">
        <f t="shared" si="1"/>
        <v>87</v>
      </c>
      <c r="G96" s="187">
        <f>'anexa 4 lei'!G96/'anexa 4 lei'!$K$4</f>
        <v>37486.212</v>
      </c>
      <c r="H96" s="187">
        <f>'anexa 4 lei'!H96/'anexa 4 lei'!$K$4</f>
        <v>7944.9470000000001</v>
      </c>
      <c r="I96" s="187">
        <f>'anexa 4 lei'!I96/'anexa 4 lei'!$K$4</f>
        <v>11369.710999999999</v>
      </c>
      <c r="J96" s="187">
        <f>'anexa 4 lei'!J96/'anexa 4 lei'!$K$4</f>
        <v>8533.7839999999997</v>
      </c>
      <c r="K96" s="555">
        <f>'anexa 4 lei'!K96/'anexa 4 lei'!$K$4</f>
        <v>9637.77</v>
      </c>
      <c r="L96" s="551">
        <f>'anexa 4 lei'!L96/'anexa 4 lei'!$K$4</f>
        <v>35335.885999999999</v>
      </c>
      <c r="M96" s="187">
        <f>'anexa 4 lei'!M96/'anexa 4 lei'!$K$4</f>
        <v>35737.223402800002</v>
      </c>
      <c r="N96" s="187">
        <f>'anexa 4 lei'!N96/'anexa 4 lei'!$K$4</f>
        <v>37486.212</v>
      </c>
      <c r="O96" s="187">
        <f>'anexa 4 lei'!O96/'anexa 4 lei'!$K$4</f>
        <v>0</v>
      </c>
    </row>
    <row r="97" spans="1:15" ht="29.25" hidden="1" customHeight="1" x14ac:dyDescent="0.2">
      <c r="A97" s="826"/>
      <c r="B97" s="828"/>
      <c r="C97" s="749" t="s">
        <v>46</v>
      </c>
      <c r="D97" s="829" t="s">
        <v>189</v>
      </c>
      <c r="E97" s="829"/>
      <c r="F97" s="749">
        <f t="shared" si="1"/>
        <v>88</v>
      </c>
      <c r="G97" s="187">
        <f>'anexa 4 lei'!G97/'anexa 4 lei'!$K$4</f>
        <v>32620.337</v>
      </c>
      <c r="H97" s="187">
        <f>'anexa 4 lei'!H97/'anexa 4 lei'!$K$4</f>
        <v>7454.6729999999998</v>
      </c>
      <c r="I97" s="187">
        <f>'anexa 4 lei'!I97/'anexa 4 lei'!$K$4</f>
        <v>8091.1360000000004</v>
      </c>
      <c r="J97" s="187">
        <f>'anexa 4 lei'!J97/'anexa 4 lei'!$K$4</f>
        <v>8068.1270000000004</v>
      </c>
      <c r="K97" s="555">
        <f>'anexa 4 lei'!K97/'anexa 4 lei'!$K$4</f>
        <v>9006.4009999999998</v>
      </c>
      <c r="L97" s="551">
        <f>'anexa 4 lei'!L97/'anexa 4 lei'!$K$4</f>
        <v>30813.977999999999</v>
      </c>
      <c r="M97" s="187">
        <f>'anexa 4 lei'!M97/'anexa 4 lei'!$K$4</f>
        <v>30821.399634000001</v>
      </c>
      <c r="N97" s="187">
        <f>'anexa 4 lei'!N97/'anexa 4 lei'!$K$4</f>
        <v>32620.337</v>
      </c>
      <c r="O97" s="187">
        <f>'anexa 4 lei'!O97/'anexa 4 lei'!$K$4</f>
        <v>0</v>
      </c>
    </row>
    <row r="98" spans="1:15" hidden="1" x14ac:dyDescent="0.2">
      <c r="A98" s="826"/>
      <c r="B98" s="828"/>
      <c r="C98" s="831"/>
      <c r="D98" s="830" t="s">
        <v>190</v>
      </c>
      <c r="E98" s="830"/>
      <c r="F98" s="749">
        <f t="shared" si="1"/>
        <v>89</v>
      </c>
      <c r="G98" s="187">
        <f>'anexa 4 lei'!G98/'anexa 4 lei'!$K$4</f>
        <v>28053.831999999999</v>
      </c>
      <c r="H98" s="187">
        <f>'anexa 4 lei'!H98/'anexa 4 lei'!$K$4</f>
        <v>6883.54</v>
      </c>
      <c r="I98" s="187">
        <f>'anexa 4 lei'!I98/'anexa 4 lei'!$K$4</f>
        <v>6953.49</v>
      </c>
      <c r="J98" s="187">
        <f>'anexa 4 lei'!J98/'anexa 4 lei'!$K$4</f>
        <v>7006.95</v>
      </c>
      <c r="K98" s="555">
        <f>'anexa 4 lei'!K98/'anexa 4 lei'!$K$4</f>
        <v>7209.8519999999999</v>
      </c>
      <c r="L98" s="551">
        <f>'anexa 4 lei'!L98/'anexa 4 lei'!$K$4</f>
        <v>25159.266</v>
      </c>
      <c r="M98" s="187">
        <f>'anexa 4 lei'!M98/'anexa 4 lei'!$K$4</f>
        <v>26657.445100000001</v>
      </c>
      <c r="N98" s="187">
        <f>'anexa 4 lei'!N98/'anexa 4 lei'!$K$4</f>
        <v>28053.831999999999</v>
      </c>
      <c r="O98" s="187">
        <f>'anexa 4 lei'!O98/'anexa 4 lei'!$K$4</f>
        <v>0</v>
      </c>
    </row>
    <row r="99" spans="1:15" ht="13.5" hidden="1" customHeight="1" x14ac:dyDescent="0.2">
      <c r="A99" s="826"/>
      <c r="B99" s="828"/>
      <c r="C99" s="831"/>
      <c r="D99" s="837" t="s">
        <v>191</v>
      </c>
      <c r="E99" s="837"/>
      <c r="F99" s="749">
        <f t="shared" si="1"/>
        <v>90</v>
      </c>
      <c r="G99" s="187">
        <f>'anexa 4 lei'!G99/'anexa 4 lei'!$K$4</f>
        <v>1438.5719999999999</v>
      </c>
      <c r="H99" s="187">
        <f>'anexa 4 lei'!H99/'anexa 4 lei'!$K$4</f>
        <v>352.762</v>
      </c>
      <c r="I99" s="187">
        <f>'anexa 4 lei'!I99/'anexa 4 lei'!$K$4</f>
        <v>356.846</v>
      </c>
      <c r="J99" s="187">
        <f>'anexa 4 lei'!J99/'anexa 4 lei'!$K$4</f>
        <v>359.38200000000001</v>
      </c>
      <c r="K99" s="555">
        <f>'anexa 4 lei'!K99/'anexa 4 lei'!$K$4</f>
        <v>369.58199999999999</v>
      </c>
      <c r="L99" s="551">
        <f>'anexa 4 lei'!L99/'anexa 4 lei'!$K$4</f>
        <v>1294.5450000000001</v>
      </c>
      <c r="M99" s="187">
        <f>'anexa 4 lei'!M99/'anexa 4 lei'!$K$4</f>
        <v>1383.3126539999998</v>
      </c>
      <c r="N99" s="187">
        <f>'anexa 4 lei'!N99/'anexa 4 lei'!$K$4</f>
        <v>1438.5719999999999</v>
      </c>
      <c r="O99" s="187">
        <f>'anexa 4 lei'!O99/'anexa 4 lei'!$K$4</f>
        <v>0</v>
      </c>
    </row>
    <row r="100" spans="1:15" hidden="1" x14ac:dyDescent="0.2">
      <c r="A100" s="826"/>
      <c r="B100" s="828"/>
      <c r="C100" s="831"/>
      <c r="D100" s="830" t="s">
        <v>192</v>
      </c>
      <c r="E100" s="830"/>
      <c r="F100" s="749">
        <f t="shared" si="1"/>
        <v>91</v>
      </c>
      <c r="G100" s="187">
        <f>'anexa 4 lei'!G100/'anexa 4 lei'!$K$4</f>
        <v>3127.933</v>
      </c>
      <c r="H100" s="187">
        <f>'anexa 4 lei'!H100/'anexa 4 lei'!$K$4</f>
        <v>218.37100000000001</v>
      </c>
      <c r="I100" s="187">
        <f>'anexa 4 lei'!I100/'anexa 4 lei'!$K$4</f>
        <v>780.8</v>
      </c>
      <c r="J100" s="187">
        <f>'anexa 4 lei'!J100/'anexa 4 lei'!$K$4</f>
        <v>701.79499999999996</v>
      </c>
      <c r="K100" s="555">
        <f>'anexa 4 lei'!K100/'anexa 4 lei'!$K$4</f>
        <v>1426.9670000000001</v>
      </c>
      <c r="L100" s="551">
        <f>'anexa 4 lei'!L100/'anexa 4 lei'!$K$4</f>
        <v>4360.1670000000004</v>
      </c>
      <c r="M100" s="187">
        <f>'anexa 4 lei'!M100/'anexa 4 lei'!$K$4</f>
        <v>2780.6418799999997</v>
      </c>
      <c r="N100" s="187">
        <f>'anexa 4 lei'!N100/'anexa 4 lei'!$K$4</f>
        <v>3127.933</v>
      </c>
      <c r="O100" s="187">
        <f>'anexa 4 lei'!O100/'anexa 4 lei'!$K$4</f>
        <v>0</v>
      </c>
    </row>
    <row r="101" spans="1:15" ht="33.75" hidden="1" customHeight="1" x14ac:dyDescent="0.2">
      <c r="A101" s="826"/>
      <c r="B101" s="828"/>
      <c r="C101" s="749" t="s">
        <v>67</v>
      </c>
      <c r="D101" s="829" t="s">
        <v>389</v>
      </c>
      <c r="E101" s="829"/>
      <c r="F101" s="749">
        <f t="shared" si="1"/>
        <v>92</v>
      </c>
      <c r="G101" s="187">
        <f>'anexa 4 lei'!G101/'anexa 4 lei'!$K$4</f>
        <v>4865.875</v>
      </c>
      <c r="H101" s="187">
        <f>'anexa 4 lei'!H101/'anexa 4 lei'!$K$4</f>
        <v>490.274</v>
      </c>
      <c r="I101" s="187">
        <f>'anexa 4 lei'!I101/'anexa 4 lei'!$K$4</f>
        <v>3278.5749999999998</v>
      </c>
      <c r="J101" s="187">
        <f>'anexa 4 lei'!J101/'anexa 4 lei'!$K$4</f>
        <v>465.65699999999998</v>
      </c>
      <c r="K101" s="555">
        <f>'anexa 4 lei'!K101/'anexa 4 lei'!$K$4</f>
        <v>631.36900000000003</v>
      </c>
      <c r="L101" s="551">
        <f>'anexa 4 lei'!L101/'anexa 4 lei'!$K$4</f>
        <v>4521.9080000000004</v>
      </c>
      <c r="M101" s="187">
        <f>'anexa 4 lei'!M101/'anexa 4 lei'!$K$4</f>
        <v>4915.8237687999999</v>
      </c>
      <c r="N101" s="187">
        <f>'anexa 4 lei'!N101/'anexa 4 lei'!$K$4</f>
        <v>4865.875</v>
      </c>
      <c r="O101" s="187">
        <f>'anexa 4 lei'!O101/'anexa 4 lei'!$K$4</f>
        <v>0</v>
      </c>
    </row>
    <row r="102" spans="1:15" ht="45" hidden="1" customHeight="1" x14ac:dyDescent="0.2">
      <c r="A102" s="826"/>
      <c r="B102" s="828"/>
      <c r="C102" s="749"/>
      <c r="D102" s="829" t="s">
        <v>187</v>
      </c>
      <c r="E102" s="829"/>
      <c r="F102" s="749">
        <f t="shared" si="1"/>
        <v>93</v>
      </c>
      <c r="G102" s="187">
        <f>'anexa 4 lei'!G102/'anexa 4 lei'!$K$4</f>
        <v>604.9</v>
      </c>
      <c r="H102" s="187">
        <f>'anexa 4 lei'!H102/'anexa 4 lei'!$K$4</f>
        <v>41.1</v>
      </c>
      <c r="I102" s="187">
        <f>'anexa 4 lei'!I102/'anexa 4 lei'!$K$4</f>
        <v>425</v>
      </c>
      <c r="J102" s="187">
        <f>'anexa 4 lei'!J102/'anexa 4 lei'!$K$4</f>
        <v>69.900000000000006</v>
      </c>
      <c r="K102" s="555">
        <f>'anexa 4 lei'!K102/'anexa 4 lei'!$K$4</f>
        <v>68.900000000000006</v>
      </c>
      <c r="L102" s="551">
        <f>'anexa 4 lei'!L102/'anexa 4 lei'!$K$4</f>
        <v>622.13599999999997</v>
      </c>
      <c r="M102" s="187">
        <f>'anexa 4 lei'!M102/'anexa 4 lei'!$K$4</f>
        <v>609.00271879999991</v>
      </c>
      <c r="N102" s="187">
        <f>'anexa 4 lei'!N102/'anexa 4 lei'!$K$4</f>
        <v>604.9</v>
      </c>
      <c r="O102" s="187">
        <f>'anexa 4 lei'!O102/'anexa 4 lei'!$K$4</f>
        <v>0</v>
      </c>
    </row>
    <row r="103" spans="1:15" ht="25.5" hidden="1" x14ac:dyDescent="0.2">
      <c r="A103" s="826"/>
      <c r="B103" s="828"/>
      <c r="C103" s="749"/>
      <c r="D103" s="749"/>
      <c r="E103" s="747" t="s">
        <v>193</v>
      </c>
      <c r="F103" s="749">
        <f t="shared" si="1"/>
        <v>94</v>
      </c>
      <c r="G103" s="187">
        <f>'anexa 4 lei'!G103/'anexa 4 lei'!$K$4</f>
        <v>0</v>
      </c>
      <c r="H103" s="187">
        <f>'anexa 4 lei'!H103/'anexa 4 lei'!$K$4</f>
        <v>0</v>
      </c>
      <c r="I103" s="187">
        <f>'anexa 4 lei'!I103/'anexa 4 lei'!$K$4</f>
        <v>0</v>
      </c>
      <c r="J103" s="187">
        <f>'anexa 4 lei'!J103/'anexa 4 lei'!$K$4</f>
        <v>0</v>
      </c>
      <c r="K103" s="555">
        <f>'anexa 4 lei'!K103/'anexa 4 lei'!$K$4</f>
        <v>0</v>
      </c>
      <c r="L103" s="551">
        <f>'anexa 4 lei'!L103/'anexa 4 lei'!$K$4</f>
        <v>0</v>
      </c>
      <c r="M103" s="187">
        <f>'anexa 4 lei'!M103/'anexa 4 lei'!$K$4</f>
        <v>0</v>
      </c>
      <c r="N103" s="187">
        <f>'anexa 4 lei'!N103/'anexa 4 lei'!$K$4</f>
        <v>0</v>
      </c>
      <c r="O103" s="187">
        <f>'anexa 4 lei'!O103/'anexa 4 lei'!$K$4</f>
        <v>0</v>
      </c>
    </row>
    <row r="104" spans="1:15" ht="38.25" hidden="1" x14ac:dyDescent="0.2">
      <c r="A104" s="826"/>
      <c r="B104" s="828"/>
      <c r="C104" s="749"/>
      <c r="D104" s="749"/>
      <c r="E104" s="747" t="s">
        <v>194</v>
      </c>
      <c r="F104" s="749">
        <f t="shared" si="1"/>
        <v>95</v>
      </c>
      <c r="G104" s="187">
        <f>'anexa 4 lei'!G104/'anexa 4 lei'!$K$4</f>
        <v>378.4</v>
      </c>
      <c r="H104" s="187">
        <f>'anexa 4 lei'!H104/'anexa 4 lei'!$K$4</f>
        <v>0</v>
      </c>
      <c r="I104" s="187">
        <f>'anexa 4 lei'!I104/'anexa 4 lei'!$K$4</f>
        <v>378.4</v>
      </c>
      <c r="J104" s="187">
        <f>'anexa 4 lei'!J104/'anexa 4 lei'!$K$4</f>
        <v>0</v>
      </c>
      <c r="K104" s="555">
        <f>'anexa 4 lei'!K104/'anexa 4 lei'!$K$4</f>
        <v>0</v>
      </c>
      <c r="L104" s="551">
        <f>'anexa 4 lei'!L104/'anexa 4 lei'!$K$4</f>
        <v>361.46</v>
      </c>
      <c r="M104" s="187">
        <f>'anexa 4 lei'!M104/'anexa 4 lei'!$K$4</f>
        <v>414.35</v>
      </c>
      <c r="N104" s="187">
        <f>'anexa 4 lei'!N104/'anexa 4 lei'!$K$4</f>
        <v>378.4</v>
      </c>
      <c r="O104" s="187">
        <f>'anexa 4 lei'!O104/'anexa 4 lei'!$K$4</f>
        <v>0</v>
      </c>
    </row>
    <row r="105" spans="1:15" hidden="1" x14ac:dyDescent="0.2">
      <c r="A105" s="826"/>
      <c r="B105" s="828"/>
      <c r="C105" s="749"/>
      <c r="D105" s="830" t="s">
        <v>74</v>
      </c>
      <c r="E105" s="830"/>
      <c r="F105" s="749">
        <f t="shared" si="1"/>
        <v>96</v>
      </c>
      <c r="G105" s="187">
        <f>'anexa 4 lei'!G105/'anexa 4 lei'!$K$4</f>
        <v>1960.9749999999999</v>
      </c>
      <c r="H105" s="187">
        <f>'anexa 4 lei'!H105/'anexa 4 lei'!$K$4</f>
        <v>449.17399999999998</v>
      </c>
      <c r="I105" s="187">
        <f>'anexa 4 lei'!I105/'anexa 4 lei'!$K$4</f>
        <v>553.57500000000005</v>
      </c>
      <c r="J105" s="187">
        <f>'anexa 4 lei'!J105/'anexa 4 lei'!$K$4</f>
        <v>395.75700000000001</v>
      </c>
      <c r="K105" s="555">
        <f>'anexa 4 lei'!K105/'anexa 4 lei'!$K$4</f>
        <v>562.46900000000005</v>
      </c>
      <c r="L105" s="551">
        <f>'anexa 4 lei'!L105/'anexa 4 lei'!$K$4</f>
        <v>1799.7719999999999</v>
      </c>
      <c r="M105" s="187">
        <f>'anexa 4 lei'!M105/'anexa 4 lei'!$K$4</f>
        <v>2006.8210499999998</v>
      </c>
      <c r="N105" s="187">
        <f>'anexa 4 lei'!N105/'anexa 4 lei'!$K$4</f>
        <v>1960.9749999999999</v>
      </c>
      <c r="O105" s="187">
        <f>'anexa 4 lei'!O105/'anexa 4 lei'!$K$4</f>
        <v>0</v>
      </c>
    </row>
    <row r="106" spans="1:15" hidden="1" x14ac:dyDescent="0.2">
      <c r="A106" s="826"/>
      <c r="B106" s="828"/>
      <c r="C106" s="749"/>
      <c r="D106" s="830" t="s">
        <v>195</v>
      </c>
      <c r="E106" s="830"/>
      <c r="F106" s="749">
        <f t="shared" si="1"/>
        <v>97</v>
      </c>
      <c r="G106" s="187">
        <f>'anexa 4 lei'!G106/'anexa 4 lei'!$K$4</f>
        <v>0</v>
      </c>
      <c r="H106" s="187">
        <f>'anexa 4 lei'!H106/'anexa 4 lei'!$K$4</f>
        <v>0</v>
      </c>
      <c r="I106" s="187">
        <f>'anexa 4 lei'!I106/'anexa 4 lei'!$K$4</f>
        <v>0</v>
      </c>
      <c r="J106" s="187">
        <f>'anexa 4 lei'!J106/'anexa 4 lei'!$K$4</f>
        <v>0</v>
      </c>
      <c r="K106" s="555">
        <f>'anexa 4 lei'!K106/'anexa 4 lei'!$K$4</f>
        <v>0</v>
      </c>
      <c r="L106" s="551">
        <f>'anexa 4 lei'!L106/'anexa 4 lei'!$K$4</f>
        <v>0</v>
      </c>
      <c r="M106" s="187">
        <f>'anexa 4 lei'!M106/'anexa 4 lei'!$K$4</f>
        <v>0</v>
      </c>
      <c r="N106" s="187">
        <f>'anexa 4 lei'!N106/'anexa 4 lei'!$K$4</f>
        <v>0</v>
      </c>
      <c r="O106" s="187">
        <f>'anexa 4 lei'!O106/'anexa 4 lei'!$K$4</f>
        <v>0</v>
      </c>
    </row>
    <row r="107" spans="1:15" ht="13.5" hidden="1" customHeight="1" x14ac:dyDescent="0.2">
      <c r="A107" s="826"/>
      <c r="B107" s="828"/>
      <c r="C107" s="749"/>
      <c r="D107" s="829" t="s">
        <v>390</v>
      </c>
      <c r="E107" s="829"/>
      <c r="F107" s="749">
        <f t="shared" si="1"/>
        <v>98</v>
      </c>
      <c r="G107" s="187">
        <f>'anexa 4 lei'!G107/'anexa 4 lei'!$K$4</f>
        <v>2300</v>
      </c>
      <c r="H107" s="187">
        <f>'anexa 4 lei'!H107/'anexa 4 lei'!$K$4</f>
        <v>0</v>
      </c>
      <c r="I107" s="187">
        <f>'anexa 4 lei'!I107/'anexa 4 lei'!$K$4</f>
        <v>2300</v>
      </c>
      <c r="J107" s="187">
        <f>'anexa 4 lei'!J107/'anexa 4 lei'!$K$4</f>
        <v>0</v>
      </c>
      <c r="K107" s="555">
        <f>'anexa 4 lei'!K107/'anexa 4 lei'!$K$4</f>
        <v>0</v>
      </c>
      <c r="L107" s="551">
        <f>'anexa 4 lei'!L107/'anexa 4 lei'!$K$4</f>
        <v>2100</v>
      </c>
      <c r="M107" s="187">
        <f>'anexa 4 lei'!M107/'anexa 4 lei'!$K$4</f>
        <v>2300</v>
      </c>
      <c r="N107" s="187">
        <f>'anexa 4 lei'!N107/'anexa 4 lei'!$K$4</f>
        <v>2300</v>
      </c>
      <c r="O107" s="187">
        <f>'anexa 4 lei'!O107/'anexa 4 lei'!$K$4</f>
        <v>0</v>
      </c>
    </row>
    <row r="108" spans="1:15" hidden="1" x14ac:dyDescent="0.2">
      <c r="A108" s="826"/>
      <c r="B108" s="828"/>
      <c r="C108" s="749"/>
      <c r="D108" s="830" t="s">
        <v>196</v>
      </c>
      <c r="E108" s="830"/>
      <c r="F108" s="749">
        <f t="shared" si="1"/>
        <v>99</v>
      </c>
      <c r="G108" s="187">
        <f>'anexa 4 lei'!G108/'anexa 4 lei'!$K$4</f>
        <v>0</v>
      </c>
      <c r="H108" s="187">
        <f>'anexa 4 lei'!H108/'anexa 4 lei'!$K$4</f>
        <v>0</v>
      </c>
      <c r="I108" s="187">
        <f>'anexa 4 lei'!I108/'anexa 4 lei'!$K$4</f>
        <v>0</v>
      </c>
      <c r="J108" s="187">
        <f>'anexa 4 lei'!J108/'anexa 4 lei'!$K$4</f>
        <v>0</v>
      </c>
      <c r="K108" s="555">
        <f>'anexa 4 lei'!K108/'anexa 4 lei'!$K$4</f>
        <v>0</v>
      </c>
      <c r="L108" s="551">
        <f>'anexa 4 lei'!L108/'anexa 4 lei'!$K$4</f>
        <v>0</v>
      </c>
      <c r="M108" s="187">
        <f>'anexa 4 lei'!M108/'anexa 4 lei'!$K$4</f>
        <v>0</v>
      </c>
      <c r="N108" s="187">
        <f>'anexa 4 lei'!N108/'anexa 4 lei'!$K$4</f>
        <v>0</v>
      </c>
      <c r="O108" s="187">
        <f>'anexa 4 lei'!O108/'anexa 4 lei'!$K$4</f>
        <v>0</v>
      </c>
    </row>
    <row r="109" spans="1:15" ht="32.25" hidden="1" customHeight="1" x14ac:dyDescent="0.2">
      <c r="A109" s="826"/>
      <c r="B109" s="828"/>
      <c r="C109" s="749" t="s">
        <v>124</v>
      </c>
      <c r="D109" s="829" t="s">
        <v>197</v>
      </c>
      <c r="E109" s="829"/>
      <c r="F109" s="749">
        <f t="shared" si="1"/>
        <v>100</v>
      </c>
      <c r="G109" s="187">
        <f>'anexa 4 lei'!G109/'anexa 4 lei'!$K$4</f>
        <v>0</v>
      </c>
      <c r="H109" s="187">
        <f>'anexa 4 lei'!H109/'anexa 4 lei'!$K$4</f>
        <v>0</v>
      </c>
      <c r="I109" s="187">
        <f>'anexa 4 lei'!I109/'anexa 4 lei'!$K$4</f>
        <v>0</v>
      </c>
      <c r="J109" s="187">
        <f>'anexa 4 lei'!J109/'anexa 4 lei'!$K$4</f>
        <v>0</v>
      </c>
      <c r="K109" s="555">
        <f>'anexa 4 lei'!K109/'anexa 4 lei'!$K$4</f>
        <v>0</v>
      </c>
      <c r="L109" s="551">
        <f>'anexa 4 lei'!L109/'anexa 4 lei'!$K$4</f>
        <v>0</v>
      </c>
      <c r="M109" s="187">
        <f>'anexa 4 lei'!M109/'anexa 4 lei'!$K$4</f>
        <v>0</v>
      </c>
      <c r="N109" s="187">
        <f>'anexa 4 lei'!N109/'anexa 4 lei'!$K$4</f>
        <v>0</v>
      </c>
      <c r="O109" s="187">
        <f>'anexa 4 lei'!O109/'anexa 4 lei'!$K$4</f>
        <v>0</v>
      </c>
    </row>
    <row r="110" spans="1:15" ht="13.5" hidden="1" customHeight="1" x14ac:dyDescent="0.2">
      <c r="A110" s="826"/>
      <c r="B110" s="828"/>
      <c r="C110" s="749"/>
      <c r="D110" s="837" t="s">
        <v>198</v>
      </c>
      <c r="E110" s="837"/>
      <c r="F110" s="749">
        <f t="shared" si="1"/>
        <v>101</v>
      </c>
      <c r="G110" s="187">
        <f>'anexa 4 lei'!G110/'anexa 4 lei'!$K$4</f>
        <v>0</v>
      </c>
      <c r="H110" s="187">
        <f>'anexa 4 lei'!H110/'anexa 4 lei'!$K$4</f>
        <v>0</v>
      </c>
      <c r="I110" s="187">
        <f>'anexa 4 lei'!I110/'anexa 4 lei'!$K$4</f>
        <v>0</v>
      </c>
      <c r="J110" s="187">
        <f>'anexa 4 lei'!J110/'anexa 4 lei'!$K$4</f>
        <v>0</v>
      </c>
      <c r="K110" s="555">
        <f>'anexa 4 lei'!K110/'anexa 4 lei'!$K$4</f>
        <v>0</v>
      </c>
      <c r="L110" s="551">
        <f>'anexa 4 lei'!L110/'anexa 4 lei'!$K$4</f>
        <v>0</v>
      </c>
      <c r="M110" s="187">
        <f>'anexa 4 lei'!M110/'anexa 4 lei'!$K$4</f>
        <v>0</v>
      </c>
      <c r="N110" s="187">
        <f>'anexa 4 lei'!N110/'anexa 4 lei'!$K$4</f>
        <v>0</v>
      </c>
      <c r="O110" s="187">
        <f>'anexa 4 lei'!O110/'anexa 4 lei'!$K$4</f>
        <v>0</v>
      </c>
    </row>
    <row r="111" spans="1:15" ht="13.5" hidden="1" customHeight="1" x14ac:dyDescent="0.2">
      <c r="A111" s="826"/>
      <c r="B111" s="828"/>
      <c r="C111" s="749"/>
      <c r="D111" s="837" t="s">
        <v>199</v>
      </c>
      <c r="E111" s="837"/>
      <c r="F111" s="749">
        <f t="shared" si="1"/>
        <v>102</v>
      </c>
      <c r="G111" s="187">
        <f>'anexa 4 lei'!G111/'anexa 4 lei'!$K$4</f>
        <v>0</v>
      </c>
      <c r="H111" s="187">
        <f>'anexa 4 lei'!H111/'anexa 4 lei'!$K$4</f>
        <v>0</v>
      </c>
      <c r="I111" s="187">
        <f>'anexa 4 lei'!I111/'anexa 4 lei'!$K$4</f>
        <v>0</v>
      </c>
      <c r="J111" s="187">
        <f>'anexa 4 lei'!J111/'anexa 4 lei'!$K$4</f>
        <v>0</v>
      </c>
      <c r="K111" s="555">
        <f>'anexa 4 lei'!K111/'anexa 4 lei'!$K$4</f>
        <v>0</v>
      </c>
      <c r="L111" s="551">
        <f>'anexa 4 lei'!L111/'anexa 4 lei'!$K$4</f>
        <v>0</v>
      </c>
      <c r="M111" s="187">
        <f>'anexa 4 lei'!M111/'anexa 4 lei'!$K$4</f>
        <v>0</v>
      </c>
      <c r="N111" s="187">
        <f>'anexa 4 lei'!N111/'anexa 4 lei'!$K$4</f>
        <v>0</v>
      </c>
      <c r="O111" s="187">
        <f>'anexa 4 lei'!O111/'anexa 4 lei'!$K$4</f>
        <v>0</v>
      </c>
    </row>
    <row r="112" spans="1:15" ht="45.75" hidden="1" customHeight="1" x14ac:dyDescent="0.2">
      <c r="A112" s="826"/>
      <c r="B112" s="828"/>
      <c r="C112" s="749"/>
      <c r="D112" s="837" t="s">
        <v>200</v>
      </c>
      <c r="E112" s="837"/>
      <c r="F112" s="749">
        <f t="shared" si="1"/>
        <v>103</v>
      </c>
      <c r="G112" s="187">
        <f>'anexa 4 lei'!G112/'anexa 4 lei'!$K$4</f>
        <v>0</v>
      </c>
      <c r="H112" s="187">
        <f>'anexa 4 lei'!H112/'anexa 4 lei'!$K$4</f>
        <v>0</v>
      </c>
      <c r="I112" s="187">
        <f>'anexa 4 lei'!I112/'anexa 4 lei'!$K$4</f>
        <v>0</v>
      </c>
      <c r="J112" s="187">
        <f>'anexa 4 lei'!J112/'anexa 4 lei'!$K$4</f>
        <v>0</v>
      </c>
      <c r="K112" s="555">
        <f>'anexa 4 lei'!K112/'anexa 4 lei'!$K$4</f>
        <v>0</v>
      </c>
      <c r="L112" s="551">
        <f>'anexa 4 lei'!L112/'anexa 4 lei'!$K$4</f>
        <v>0</v>
      </c>
      <c r="M112" s="187">
        <f>'anexa 4 lei'!M112/'anexa 4 lei'!$K$4</f>
        <v>0</v>
      </c>
      <c r="N112" s="187">
        <f>'anexa 4 lei'!N112/'anexa 4 lei'!$K$4</f>
        <v>0</v>
      </c>
      <c r="O112" s="187">
        <f>'anexa 4 lei'!O112/'anexa 4 lei'!$K$4</f>
        <v>0</v>
      </c>
    </row>
    <row r="113" spans="1:15" ht="47.25" hidden="1" customHeight="1" x14ac:dyDescent="0.2">
      <c r="A113" s="826"/>
      <c r="B113" s="828"/>
      <c r="C113" s="749" t="s">
        <v>63</v>
      </c>
      <c r="D113" s="837" t="s">
        <v>75</v>
      </c>
      <c r="E113" s="837"/>
      <c r="F113" s="749">
        <f t="shared" si="1"/>
        <v>104</v>
      </c>
      <c r="G113" s="187">
        <f>'anexa 4 lei'!G113/'anexa 4 lei'!$K$4</f>
        <v>686.55499999999995</v>
      </c>
      <c r="H113" s="187">
        <f>'anexa 4 lei'!H113/'anexa 4 lei'!$K$4</f>
        <v>155.54499999999999</v>
      </c>
      <c r="I113" s="187">
        <f>'anexa 4 lei'!I113/'anexa 4 lei'!$K$4</f>
        <v>233.54499999999999</v>
      </c>
      <c r="J113" s="187">
        <f>'anexa 4 lei'!J113/'anexa 4 lei'!$K$4</f>
        <v>155.54499999999999</v>
      </c>
      <c r="K113" s="555">
        <f>'anexa 4 lei'!K113/'anexa 4 lei'!$K$4</f>
        <v>141.91999999999999</v>
      </c>
      <c r="L113" s="551">
        <f>'anexa 4 lei'!L113/'anexa 4 lei'!$K$4</f>
        <v>557.15499999999997</v>
      </c>
      <c r="M113" s="187">
        <f>'anexa 4 lei'!M113/'anexa 4 lei'!$K$4</f>
        <v>667.19500000000005</v>
      </c>
      <c r="N113" s="187">
        <f>'anexa 4 lei'!N113/'anexa 4 lei'!$K$4</f>
        <v>686.55499999999995</v>
      </c>
      <c r="O113" s="187">
        <f>'anexa 4 lei'!O113/'anexa 4 lei'!$K$4</f>
        <v>0</v>
      </c>
    </row>
    <row r="114" spans="1:15" hidden="1" x14ac:dyDescent="0.2">
      <c r="A114" s="826"/>
      <c r="B114" s="828"/>
      <c r="C114" s="831"/>
      <c r="D114" s="831" t="s">
        <v>282</v>
      </c>
      <c r="E114" s="831"/>
      <c r="F114" s="749">
        <f t="shared" si="1"/>
        <v>105</v>
      </c>
      <c r="G114" s="187">
        <f>'anexa 4 lei'!G114/'anexa 4 lei'!$K$4</f>
        <v>258</v>
      </c>
      <c r="H114" s="187">
        <f>'anexa 4 lei'!H114/'anexa 4 lei'!$K$4</f>
        <v>45</v>
      </c>
      <c r="I114" s="187">
        <f>'anexa 4 lei'!I114/'anexa 4 lei'!$K$4</f>
        <v>123</v>
      </c>
      <c r="J114" s="187">
        <f>'anexa 4 lei'!J114/'anexa 4 lei'!$K$4</f>
        <v>45</v>
      </c>
      <c r="K114" s="555">
        <f>'anexa 4 lei'!K114/'anexa 4 lei'!$K$4</f>
        <v>45</v>
      </c>
      <c r="L114" s="551">
        <f>'anexa 4 lei'!L114/'anexa 4 lei'!$K$4</f>
        <v>236.072</v>
      </c>
      <c r="M114" s="187">
        <f>'anexa 4 lei'!M114/'anexa 4 lei'!$K$4</f>
        <v>236.5</v>
      </c>
      <c r="N114" s="187">
        <f>'anexa 4 lei'!N114/'anexa 4 lei'!$K$4</f>
        <v>258</v>
      </c>
      <c r="O114" s="187">
        <f>'anexa 4 lei'!O114/'anexa 4 lei'!$K$4</f>
        <v>0</v>
      </c>
    </row>
    <row r="115" spans="1:15" hidden="1" x14ac:dyDescent="0.2">
      <c r="A115" s="826"/>
      <c r="B115" s="828"/>
      <c r="C115" s="831"/>
      <c r="D115" s="166"/>
      <c r="E115" s="167" t="s">
        <v>414</v>
      </c>
      <c r="F115" s="749">
        <f t="shared" si="1"/>
        <v>106</v>
      </c>
      <c r="G115" s="187">
        <f>'anexa 4 lei'!G115/'anexa 4 lei'!$K$4</f>
        <v>78</v>
      </c>
      <c r="H115" s="187">
        <f>'anexa 4 lei'!H115/'anexa 4 lei'!$K$4</f>
        <v>19.5</v>
      </c>
      <c r="I115" s="187">
        <f>'anexa 4 lei'!I115/'anexa 4 lei'!$K$4</f>
        <v>19.5</v>
      </c>
      <c r="J115" s="187">
        <f>'anexa 4 lei'!J115/'anexa 4 lei'!$K$4</f>
        <v>19.5</v>
      </c>
      <c r="K115" s="555">
        <f>'anexa 4 lei'!K115/'anexa 4 lei'!$K$4</f>
        <v>19.5</v>
      </c>
      <c r="L115" s="551">
        <f>'anexa 4 lei'!L115/'anexa 4 lei'!$K$4</f>
        <v>236.072</v>
      </c>
      <c r="M115" s="187">
        <f>'anexa 4 lei'!M115/'anexa 4 lei'!$K$4</f>
        <v>79.5</v>
      </c>
      <c r="N115" s="187">
        <f>'anexa 4 lei'!N115/'anexa 4 lei'!$K$4</f>
        <v>78</v>
      </c>
      <c r="O115" s="187">
        <f>'anexa 4 lei'!O115/'anexa 4 lei'!$K$4</f>
        <v>0</v>
      </c>
    </row>
    <row r="116" spans="1:15" hidden="1" x14ac:dyDescent="0.2">
      <c r="A116" s="826"/>
      <c r="B116" s="828"/>
      <c r="C116" s="831"/>
      <c r="D116" s="166"/>
      <c r="E116" s="167" t="s">
        <v>415</v>
      </c>
      <c r="F116" s="749">
        <f t="shared" si="1"/>
        <v>107</v>
      </c>
      <c r="G116" s="187">
        <f>'anexa 4 lei'!G116/'anexa 4 lei'!$K$4</f>
        <v>180</v>
      </c>
      <c r="H116" s="187">
        <f>'anexa 4 lei'!H116/'anexa 4 lei'!$K$4</f>
        <v>25.5</v>
      </c>
      <c r="I116" s="187">
        <f>'anexa 4 lei'!I116/'anexa 4 lei'!$K$4</f>
        <v>103.5</v>
      </c>
      <c r="J116" s="187">
        <f>'anexa 4 lei'!J116/'anexa 4 lei'!$K$4</f>
        <v>25.5</v>
      </c>
      <c r="K116" s="555">
        <f>'anexa 4 lei'!K116/'anexa 4 lei'!$K$4</f>
        <v>25.5</v>
      </c>
      <c r="L116" s="551">
        <f>'anexa 4 lei'!L116/'anexa 4 lei'!$K$4</f>
        <v>0</v>
      </c>
      <c r="M116" s="187">
        <f>'anexa 4 lei'!M116/'anexa 4 lei'!$K$4</f>
        <v>157</v>
      </c>
      <c r="N116" s="187">
        <f>'anexa 4 lei'!N116/'anexa 4 lei'!$K$4</f>
        <v>180</v>
      </c>
      <c r="O116" s="187">
        <f>'anexa 4 lei'!O116/'anexa 4 lei'!$K$4</f>
        <v>0</v>
      </c>
    </row>
    <row r="117" spans="1:15" ht="13.5" hidden="1" customHeight="1" x14ac:dyDescent="0.2">
      <c r="A117" s="826"/>
      <c r="B117" s="828"/>
      <c r="C117" s="831"/>
      <c r="D117" s="829" t="s">
        <v>201</v>
      </c>
      <c r="E117" s="829"/>
      <c r="F117" s="749">
        <f t="shared" si="1"/>
        <v>108</v>
      </c>
      <c r="G117" s="187">
        <f>'anexa 4 lei'!G117/'anexa 4 lei'!$K$4</f>
        <v>333.18</v>
      </c>
      <c r="H117" s="187">
        <f>'anexa 4 lei'!H117/'anexa 4 lei'!$K$4</f>
        <v>83.295000000000002</v>
      </c>
      <c r="I117" s="187">
        <f>'anexa 4 lei'!I117/'anexa 4 lei'!$K$4</f>
        <v>83.295000000000002</v>
      </c>
      <c r="J117" s="187">
        <f>'anexa 4 lei'!J117/'anexa 4 lei'!$K$4</f>
        <v>83.295000000000002</v>
      </c>
      <c r="K117" s="555">
        <f>'anexa 4 lei'!K117/'anexa 4 lei'!$K$4</f>
        <v>83.295000000000002</v>
      </c>
      <c r="L117" s="551">
        <f>'anexa 4 lei'!L117/'anexa 4 lei'!$K$4</f>
        <v>289.45800000000003</v>
      </c>
      <c r="M117" s="187">
        <f>'anexa 4 lei'!M117/'anexa 4 lei'!$K$4</f>
        <v>307.09500000000003</v>
      </c>
      <c r="N117" s="187">
        <f>'anexa 4 lei'!N117/'anexa 4 lei'!$K$4</f>
        <v>333.18</v>
      </c>
      <c r="O117" s="187">
        <f>'anexa 4 lei'!O117/'anexa 4 lei'!$K$4</f>
        <v>0</v>
      </c>
    </row>
    <row r="118" spans="1:15" hidden="1" x14ac:dyDescent="0.2">
      <c r="A118" s="826"/>
      <c r="B118" s="828"/>
      <c r="C118" s="831"/>
      <c r="D118" s="166"/>
      <c r="E118" s="167" t="s">
        <v>414</v>
      </c>
      <c r="F118" s="749">
        <f t="shared" si="1"/>
        <v>109</v>
      </c>
      <c r="G118" s="187">
        <f>'anexa 4 lei'!G118/'anexa 4 lei'!$K$4</f>
        <v>265.68</v>
      </c>
      <c r="H118" s="187">
        <f>'anexa 4 lei'!H118/'anexa 4 lei'!$K$4</f>
        <v>66.42</v>
      </c>
      <c r="I118" s="187">
        <f>'anexa 4 lei'!I118/'anexa 4 lei'!$K$4</f>
        <v>66.42</v>
      </c>
      <c r="J118" s="187">
        <f>'anexa 4 lei'!J118/'anexa 4 lei'!$K$4</f>
        <v>66.42</v>
      </c>
      <c r="K118" s="555">
        <f>'anexa 4 lei'!K118/'anexa 4 lei'!$K$4</f>
        <v>66.42</v>
      </c>
      <c r="L118" s="551">
        <f>'anexa 4 lei'!L118/'anexa 4 lei'!$K$4</f>
        <v>289.45800000000003</v>
      </c>
      <c r="M118" s="187">
        <f>'anexa 4 lei'!M118/'anexa 4 lei'!$K$4</f>
        <v>243.52</v>
      </c>
      <c r="N118" s="187">
        <f>'anexa 4 lei'!N118/'anexa 4 lei'!$K$4</f>
        <v>265.68</v>
      </c>
      <c r="O118" s="187">
        <f>'anexa 4 lei'!O118/'anexa 4 lei'!$K$4</f>
        <v>0</v>
      </c>
    </row>
    <row r="119" spans="1:15" hidden="1" x14ac:dyDescent="0.2">
      <c r="A119" s="826"/>
      <c r="B119" s="828"/>
      <c r="C119" s="831"/>
      <c r="D119" s="166"/>
      <c r="E119" s="167" t="s">
        <v>415</v>
      </c>
      <c r="F119" s="749">
        <f t="shared" si="1"/>
        <v>110</v>
      </c>
      <c r="G119" s="187">
        <f>'anexa 4 lei'!G119/'anexa 4 lei'!$K$4</f>
        <v>67.5</v>
      </c>
      <c r="H119" s="187">
        <f>'anexa 4 lei'!H119/'anexa 4 lei'!$K$4</f>
        <v>16.875</v>
      </c>
      <c r="I119" s="187">
        <f>'anexa 4 lei'!I119/'anexa 4 lei'!$K$4</f>
        <v>16.875</v>
      </c>
      <c r="J119" s="187">
        <f>'anexa 4 lei'!J119/'anexa 4 lei'!$K$4</f>
        <v>16.875</v>
      </c>
      <c r="K119" s="555">
        <f>'anexa 4 lei'!K119/'anexa 4 lei'!$K$4</f>
        <v>16.875</v>
      </c>
      <c r="L119" s="551">
        <f>'anexa 4 lei'!L119/'anexa 4 lei'!$K$4</f>
        <v>0</v>
      </c>
      <c r="M119" s="187">
        <f>'anexa 4 lei'!M119/'anexa 4 lei'!$K$4</f>
        <v>63.575000000000003</v>
      </c>
      <c r="N119" s="187">
        <f>'anexa 4 lei'!N119/'anexa 4 lei'!$K$4</f>
        <v>67.5</v>
      </c>
      <c r="O119" s="187">
        <f>'anexa 4 lei'!O119/'anexa 4 lei'!$K$4</f>
        <v>0</v>
      </c>
    </row>
    <row r="120" spans="1:15" hidden="1" x14ac:dyDescent="0.2">
      <c r="A120" s="826"/>
      <c r="B120" s="828"/>
      <c r="C120" s="831"/>
      <c r="D120" s="831" t="s">
        <v>202</v>
      </c>
      <c r="E120" s="831"/>
      <c r="F120" s="749">
        <f t="shared" si="1"/>
        <v>111</v>
      </c>
      <c r="G120" s="187">
        <f>'anexa 4 lei'!G120/'anexa 4 lei'!$K$4</f>
        <v>95.375</v>
      </c>
      <c r="H120" s="187">
        <f>'anexa 4 lei'!H120/'anexa 4 lei'!$K$4</f>
        <v>27.25</v>
      </c>
      <c r="I120" s="187">
        <f>'anexa 4 lei'!I120/'anexa 4 lei'!$K$4</f>
        <v>27.25</v>
      </c>
      <c r="J120" s="187">
        <f>'anexa 4 lei'!J120/'anexa 4 lei'!$K$4</f>
        <v>27.25</v>
      </c>
      <c r="K120" s="555">
        <f>'anexa 4 lei'!K120/'anexa 4 lei'!$K$4</f>
        <v>13.625</v>
      </c>
      <c r="L120" s="551">
        <f>'anexa 4 lei'!L120/'anexa 4 lei'!$K$4</f>
        <v>31.625</v>
      </c>
      <c r="M120" s="187">
        <f>'anexa 4 lei'!M120/'anexa 4 lei'!$K$4</f>
        <v>123.6</v>
      </c>
      <c r="N120" s="187">
        <f>'anexa 4 lei'!N120/'anexa 4 lei'!$K$4</f>
        <v>95.375</v>
      </c>
      <c r="O120" s="187">
        <f>'anexa 4 lei'!O120/'anexa 4 lei'!$K$4</f>
        <v>0</v>
      </c>
    </row>
    <row r="121" spans="1:15" ht="13.5" hidden="1" customHeight="1" x14ac:dyDescent="0.2">
      <c r="A121" s="826"/>
      <c r="B121" s="828"/>
      <c r="C121" s="749"/>
      <c r="D121" s="829" t="s">
        <v>203</v>
      </c>
      <c r="E121" s="829"/>
      <c r="F121" s="749">
        <f t="shared" si="1"/>
        <v>112</v>
      </c>
      <c r="G121" s="187">
        <f>'anexa 4 lei'!G121/'anexa 4 lei'!$K$4</f>
        <v>0</v>
      </c>
      <c r="H121" s="187">
        <f>'anexa 4 lei'!H121/'anexa 4 lei'!$K$4</f>
        <v>0</v>
      </c>
      <c r="I121" s="187">
        <f>'anexa 4 lei'!I121/'anexa 4 lei'!$K$4</f>
        <v>0</v>
      </c>
      <c r="J121" s="187">
        <f>'anexa 4 lei'!J121/'anexa 4 lei'!$K$4</f>
        <v>0</v>
      </c>
      <c r="K121" s="555">
        <f>'anexa 4 lei'!K121/'anexa 4 lei'!$K$4</f>
        <v>0</v>
      </c>
      <c r="L121" s="551">
        <f>'anexa 4 lei'!L121/'anexa 4 lei'!$K$4</f>
        <v>0</v>
      </c>
      <c r="M121" s="187">
        <f>'anexa 4 lei'!M121/'anexa 4 lei'!$K$4</f>
        <v>0</v>
      </c>
      <c r="N121" s="187">
        <f>'anexa 4 lei'!N121/'anexa 4 lei'!$K$4</f>
        <v>0</v>
      </c>
      <c r="O121" s="187">
        <f>'anexa 4 lei'!O121/'anexa 4 lei'!$K$4</f>
        <v>0</v>
      </c>
    </row>
    <row r="122" spans="1:15" ht="60.75" hidden="1" customHeight="1" x14ac:dyDescent="0.2">
      <c r="A122" s="826"/>
      <c r="B122" s="828"/>
      <c r="C122" s="749" t="s">
        <v>68</v>
      </c>
      <c r="D122" s="829" t="s">
        <v>511</v>
      </c>
      <c r="E122" s="829"/>
      <c r="F122" s="749">
        <f t="shared" si="1"/>
        <v>113</v>
      </c>
      <c r="G122" s="187">
        <f>'anexa 4 lei'!G122/'anexa 4 lei'!$K$4</f>
        <v>8491.6723288800004</v>
      </c>
      <c r="H122" s="187">
        <f>'anexa 4 lei'!H122/'anexa 4 lei'!$K$4</f>
        <v>1815.34389452</v>
      </c>
      <c r="I122" s="187">
        <f>'anexa 4 lei'!I122/'anexa 4 lei'!$K$4</f>
        <v>2534.4911353399989</v>
      </c>
      <c r="J122" s="187">
        <f>'anexa 4 lei'!J122/'anexa 4 lei'!$K$4</f>
        <v>1960.28098608</v>
      </c>
      <c r="K122" s="555">
        <f>'anexa 4 lei'!K122/'anexa 4 lei'!$K$4</f>
        <v>2181.5563129400002</v>
      </c>
      <c r="L122" s="551">
        <f>'anexa 4 lei'!L122/'anexa 4 lei'!$K$4</f>
        <v>8937.0796345199997</v>
      </c>
      <c r="M122" s="187">
        <f>'anexa 4 lei'!M122/'anexa 4 lei'!$K$4</f>
        <v>9525.6385092220007</v>
      </c>
      <c r="N122" s="187">
        <f>'anexa 4 lei'!N122/'anexa 4 lei'!$K$4</f>
        <v>8491.6723288800004</v>
      </c>
      <c r="O122" s="187">
        <f>'anexa 4 lei'!O122/'anexa 4 lei'!$K$4</f>
        <v>0</v>
      </c>
    </row>
    <row r="123" spans="1:15" hidden="1" x14ac:dyDescent="0.2">
      <c r="A123" s="826"/>
      <c r="B123" s="828"/>
      <c r="C123" s="830"/>
      <c r="D123" s="830" t="s">
        <v>205</v>
      </c>
      <c r="E123" s="830"/>
      <c r="F123" s="749">
        <f t="shared" si="1"/>
        <v>114</v>
      </c>
      <c r="G123" s="187">
        <f>'anexa 4 lei'!G123/'anexa 4 lei'!$K$4</f>
        <v>6070.4036728800011</v>
      </c>
      <c r="H123" s="187">
        <f>'anexa 4 lei'!H123/'anexa 4 lei'!$K$4</f>
        <v>1297.8490705200002</v>
      </c>
      <c r="I123" s="187">
        <f>'anexa 4 lei'!I123/'anexa 4 lei'!$K$4</f>
        <v>1812.0128273399998</v>
      </c>
      <c r="J123" s="187">
        <f>'anexa 4 lei'!J123/'anexa 4 lei'!$K$4</f>
        <v>1401.0712900799997</v>
      </c>
      <c r="K123" s="555">
        <f>'anexa 4 lei'!K123/'anexa 4 lei'!$K$4</f>
        <v>1559.47048494</v>
      </c>
      <c r="L123" s="551">
        <f>'anexa 4 lei'!L123/'anexa 4 lei'!$K$4</f>
        <v>6668.9420105199997</v>
      </c>
      <c r="M123" s="187">
        <f>'anexa 4 lei'!M123/'anexa 4 lei'!$K$4</f>
        <v>7149.0347853100002</v>
      </c>
      <c r="N123" s="187">
        <f>'anexa 4 lei'!N123/'anexa 4 lei'!$K$4</f>
        <v>6070.4036728800011</v>
      </c>
      <c r="O123" s="187">
        <f>'anexa 4 lei'!O123/'anexa 4 lei'!$K$4</f>
        <v>0</v>
      </c>
    </row>
    <row r="124" spans="1:15" hidden="1" x14ac:dyDescent="0.2">
      <c r="A124" s="826"/>
      <c r="B124" s="828"/>
      <c r="C124" s="830"/>
      <c r="D124" s="830" t="s">
        <v>206</v>
      </c>
      <c r="E124" s="830"/>
      <c r="F124" s="749">
        <f t="shared" si="1"/>
        <v>115</v>
      </c>
      <c r="G124" s="187">
        <f>'anexa 4 lei'!G124/'anexa 4 lei'!$K$4</f>
        <v>267.05168999999995</v>
      </c>
      <c r="H124" s="187">
        <f>'anexa 4 lei'!H124/'anexa 4 lei'!$K$4</f>
        <v>57.076635000000003</v>
      </c>
      <c r="I124" s="187">
        <f>'anexa 4 lei'!I124/'anexa 4 lei'!$K$4</f>
        <v>79.685107499999987</v>
      </c>
      <c r="J124" s="187">
        <f>'anexa 4 lei'!J124/'anexa 4 lei'!$K$4</f>
        <v>61.677539999999993</v>
      </c>
      <c r="K124" s="555">
        <f>'anexa 4 lei'!K124/'anexa 4 lei'!$K$4</f>
        <v>68.612407499999989</v>
      </c>
      <c r="L124" s="551">
        <f>'anexa 4 lei'!L124/'anexa 4 lei'!$K$4</f>
        <v>243.136135</v>
      </c>
      <c r="M124" s="187">
        <f>'anexa 4 lei'!M124/'anexa 4 lei'!$K$4</f>
        <v>364.89860525500006</v>
      </c>
      <c r="N124" s="187">
        <f>'anexa 4 lei'!N124/'anexa 4 lei'!$K$4</f>
        <v>267.05168999999995</v>
      </c>
      <c r="O124" s="187">
        <f>'anexa 4 lei'!O124/'anexa 4 lei'!$K$4</f>
        <v>0</v>
      </c>
    </row>
    <row r="125" spans="1:15" ht="13.5" hidden="1" customHeight="1" x14ac:dyDescent="0.2">
      <c r="A125" s="826"/>
      <c r="B125" s="828"/>
      <c r="C125" s="830"/>
      <c r="D125" s="837" t="s">
        <v>207</v>
      </c>
      <c r="E125" s="837"/>
      <c r="F125" s="749">
        <f t="shared" si="1"/>
        <v>116</v>
      </c>
      <c r="G125" s="187">
        <f>'anexa 4 lei'!G125/'anexa 4 lei'!$K$4</f>
        <v>2154.2169659999995</v>
      </c>
      <c r="H125" s="187">
        <f>'anexa 4 lei'!H125/'anexa 4 lei'!$K$4</f>
        <v>460.41818900000004</v>
      </c>
      <c r="I125" s="187">
        <f>'anexa 4 lei'!I125/'anexa 4 lei'!$K$4</f>
        <v>642.7932004999999</v>
      </c>
      <c r="J125" s="187">
        <f>'anexa 4 lei'!J125/'anexa 4 lei'!$K$4</f>
        <v>497.53215599999999</v>
      </c>
      <c r="K125" s="555">
        <f>'anexa 4 lei'!K125/'anexa 4 lei'!$K$4</f>
        <v>553.47342049999997</v>
      </c>
      <c r="L125" s="551">
        <f>'anexa 4 lei'!L125/'anexa 4 lei'!$K$4</f>
        <v>2025.001489</v>
      </c>
      <c r="M125" s="187">
        <f>'anexa 4 lei'!M125/'anexa 4 lei'!$K$4</f>
        <v>2011.7051186570002</v>
      </c>
      <c r="N125" s="187">
        <f>'anexa 4 lei'!N125/'anexa 4 lei'!$K$4</f>
        <v>2154.2169659999995</v>
      </c>
      <c r="O125" s="187">
        <f>'anexa 4 lei'!O125/'anexa 4 lei'!$K$4</f>
        <v>0</v>
      </c>
    </row>
    <row r="126" spans="1:15" ht="13.5" hidden="1" customHeight="1" x14ac:dyDescent="0.2">
      <c r="A126" s="826"/>
      <c r="B126" s="828"/>
      <c r="C126" s="830"/>
      <c r="D126" s="837" t="s">
        <v>208</v>
      </c>
      <c r="E126" s="837"/>
      <c r="F126" s="749">
        <f t="shared" si="1"/>
        <v>117</v>
      </c>
      <c r="G126" s="187">
        <f>'anexa 4 lei'!G126/'anexa 4 lei'!$K$4</f>
        <v>0</v>
      </c>
      <c r="H126" s="187">
        <f>'anexa 4 lei'!H126/'anexa 4 lei'!$K$4</f>
        <v>0</v>
      </c>
      <c r="I126" s="187">
        <f>'anexa 4 lei'!I126/'anexa 4 lei'!$K$4</f>
        <v>0</v>
      </c>
      <c r="J126" s="187">
        <f>'anexa 4 lei'!J126/'anexa 4 lei'!$K$4</f>
        <v>0</v>
      </c>
      <c r="K126" s="555">
        <f>'anexa 4 lei'!K126/'anexa 4 lei'!$K$4</f>
        <v>0</v>
      </c>
      <c r="L126" s="551">
        <f>'anexa 4 lei'!L126/'anexa 4 lei'!$K$4</f>
        <v>0</v>
      </c>
      <c r="M126" s="187">
        <f>'anexa 4 lei'!M126/'anexa 4 lei'!$K$4</f>
        <v>0</v>
      </c>
      <c r="N126" s="187">
        <f>'anexa 4 lei'!N126/'anexa 4 lei'!$K$4</f>
        <v>0</v>
      </c>
      <c r="O126" s="187">
        <f>'anexa 4 lei'!O126/'anexa 4 lei'!$K$4</f>
        <v>0</v>
      </c>
    </row>
    <row r="127" spans="1:15" hidden="1" x14ac:dyDescent="0.2">
      <c r="A127" s="826"/>
      <c r="B127" s="828"/>
      <c r="C127" s="830"/>
      <c r="D127" s="830" t="s">
        <v>209</v>
      </c>
      <c r="E127" s="830"/>
      <c r="F127" s="749">
        <f t="shared" si="1"/>
        <v>118</v>
      </c>
      <c r="G127" s="187">
        <f>'anexa 4 lei'!G127/'anexa 4 lei'!$K$4</f>
        <v>0</v>
      </c>
      <c r="H127" s="187">
        <f>'anexa 4 lei'!H127/'anexa 4 lei'!$K$4</f>
        <v>0</v>
      </c>
      <c r="I127" s="187">
        <f>'anexa 4 lei'!I127/'anexa 4 lei'!$K$4</f>
        <v>0</v>
      </c>
      <c r="J127" s="187">
        <f>'anexa 4 lei'!J127/'anexa 4 lei'!$K$4</f>
        <v>0</v>
      </c>
      <c r="K127" s="555">
        <f>'anexa 4 lei'!K127/'anexa 4 lei'!$K$4</f>
        <v>0</v>
      </c>
      <c r="L127" s="551">
        <f>'anexa 4 lei'!L127/'anexa 4 lei'!$K$4</f>
        <v>0</v>
      </c>
      <c r="M127" s="187">
        <f>'anexa 4 lei'!M127/'anexa 4 lei'!$K$4</f>
        <v>0</v>
      </c>
      <c r="N127" s="187">
        <f>'anexa 4 lei'!N127/'anexa 4 lei'!$K$4</f>
        <v>0</v>
      </c>
      <c r="O127" s="187">
        <f>'anexa 4 lei'!O127/'anexa 4 lei'!$K$4</f>
        <v>0</v>
      </c>
    </row>
    <row r="128" spans="1:15" hidden="1" x14ac:dyDescent="0.2">
      <c r="A128" s="826"/>
      <c r="B128" s="828"/>
      <c r="C128" s="830"/>
      <c r="D128" s="830" t="s">
        <v>210</v>
      </c>
      <c r="E128" s="830"/>
      <c r="F128" s="749">
        <f t="shared" si="1"/>
        <v>119</v>
      </c>
      <c r="G128" s="187">
        <f>'anexa 4 lei'!G128/'anexa 4 lei'!$K$4</f>
        <v>0</v>
      </c>
      <c r="H128" s="187">
        <f>'anexa 4 lei'!H128/'anexa 4 lei'!$K$4</f>
        <v>0</v>
      </c>
      <c r="I128" s="187">
        <f>'anexa 4 lei'!I128/'anexa 4 lei'!$K$4</f>
        <v>0</v>
      </c>
      <c r="J128" s="187">
        <f>'anexa 4 lei'!J128/'anexa 4 lei'!$K$4</f>
        <v>0</v>
      </c>
      <c r="K128" s="555">
        <f>'anexa 4 lei'!K128/'anexa 4 lei'!$K$4</f>
        <v>0</v>
      </c>
      <c r="L128" s="551">
        <f>'anexa 4 lei'!L128/'anexa 4 lei'!$K$4</f>
        <v>0</v>
      </c>
      <c r="M128" s="187">
        <f>'anexa 4 lei'!M128/'anexa 4 lei'!$K$4</f>
        <v>0</v>
      </c>
      <c r="N128" s="187">
        <f>'anexa 4 lei'!N128/'anexa 4 lei'!$K$4</f>
        <v>0</v>
      </c>
      <c r="O128" s="187">
        <f>'anexa 4 lei'!O128/'anexa 4 lei'!$K$4</f>
        <v>0</v>
      </c>
    </row>
    <row r="129" spans="1:15" ht="49.5" hidden="1" customHeight="1" x14ac:dyDescent="0.2">
      <c r="A129" s="826"/>
      <c r="B129" s="828"/>
      <c r="C129" s="837" t="s">
        <v>469</v>
      </c>
      <c r="D129" s="837"/>
      <c r="E129" s="837"/>
      <c r="F129" s="749">
        <f t="shared" si="1"/>
        <v>120</v>
      </c>
      <c r="G129" s="187">
        <f>'anexa 4 lei'!G129/'anexa 4 lei'!$K$4</f>
        <v>9352.6036100000001</v>
      </c>
      <c r="H129" s="187">
        <f>'anexa 4 lei'!H129/'anexa 4 lei'!$K$4</f>
        <v>1725.0924</v>
      </c>
      <c r="I129" s="187">
        <f>'anexa 4 lei'!I129/'anexa 4 lei'!$K$4</f>
        <v>-474.02791999999999</v>
      </c>
      <c r="J129" s="187">
        <f>'anexa 4 lei'!J129/'anexa 4 lei'!$K$4</f>
        <v>1852.5291299999999</v>
      </c>
      <c r="K129" s="555">
        <f>'anexa 4 lei'!K129/'anexa 4 lei'!$K$4</f>
        <v>6249.01</v>
      </c>
      <c r="L129" s="551">
        <f>'anexa 4 lei'!L129/'anexa 4 lei'!$K$4</f>
        <v>11060.724</v>
      </c>
      <c r="M129" s="187">
        <f>'anexa 4 lei'!M129/'anexa 4 lei'!$K$4</f>
        <v>13228.330763439999</v>
      </c>
      <c r="N129" s="187">
        <f>'anexa 4 lei'!N129/'anexa 4 lei'!$K$4</f>
        <v>9352.6036100000001</v>
      </c>
      <c r="O129" s="187">
        <f>'anexa 4 lei'!O129/'anexa 4 lei'!$K$4</f>
        <v>0</v>
      </c>
    </row>
    <row r="130" spans="1:15" ht="13.5" hidden="1" customHeight="1" x14ac:dyDescent="0.2">
      <c r="A130" s="826"/>
      <c r="B130" s="828"/>
      <c r="C130" s="750" t="s">
        <v>27</v>
      </c>
      <c r="D130" s="837" t="s">
        <v>470</v>
      </c>
      <c r="E130" s="837"/>
      <c r="F130" s="749">
        <f t="shared" si="1"/>
        <v>121</v>
      </c>
      <c r="G130" s="187">
        <f>'anexa 4 lei'!G130/'anexa 4 lei'!$K$4</f>
        <v>165.87952999999999</v>
      </c>
      <c r="H130" s="187">
        <f>'anexa 4 lei'!H130/'anexa 4 lei'!$K$4</f>
        <v>45.081339999999997</v>
      </c>
      <c r="I130" s="187">
        <f>'anexa 4 lei'!I130/'anexa 4 lei'!$K$4</f>
        <v>39.776669999999996</v>
      </c>
      <c r="J130" s="187">
        <f>'anexa 4 lei'!J130/'anexa 4 lei'!$K$4</f>
        <v>38.681519999999999</v>
      </c>
      <c r="K130" s="555">
        <f>'anexa 4 lei'!K130/'anexa 4 lei'!$K$4</f>
        <v>42.34</v>
      </c>
      <c r="L130" s="551">
        <f>'anexa 4 lei'!L130/'anexa 4 lei'!$K$4</f>
        <v>230.697</v>
      </c>
      <c r="M130" s="187">
        <f>'anexa 4 lei'!M130/'anexa 4 lei'!$K$4</f>
        <v>36.223928730400004</v>
      </c>
      <c r="N130" s="187">
        <f>'anexa 4 lei'!N130/'anexa 4 lei'!$K$4</f>
        <v>165.87952999999999</v>
      </c>
      <c r="O130" s="187">
        <f>'anexa 4 lei'!O130/'anexa 4 lei'!$K$4</f>
        <v>0</v>
      </c>
    </row>
    <row r="131" spans="1:15" hidden="1" x14ac:dyDescent="0.2">
      <c r="A131" s="826"/>
      <c r="B131" s="828"/>
      <c r="C131" s="750"/>
      <c r="D131" s="830" t="s">
        <v>211</v>
      </c>
      <c r="E131" s="830"/>
      <c r="F131" s="749">
        <f t="shared" si="1"/>
        <v>122</v>
      </c>
      <c r="G131" s="187">
        <f>'anexa 4 lei'!G131/'anexa 4 lei'!$K$4</f>
        <v>80</v>
      </c>
      <c r="H131" s="187">
        <f>'anexa 4 lei'!H131/'anexa 4 lei'!$K$4</f>
        <v>20</v>
      </c>
      <c r="I131" s="187">
        <f>'anexa 4 lei'!I131/'anexa 4 lei'!$K$4</f>
        <v>20</v>
      </c>
      <c r="J131" s="187">
        <f>'anexa 4 lei'!J131/'anexa 4 lei'!$K$4</f>
        <v>20</v>
      </c>
      <c r="K131" s="555">
        <f>'anexa 4 lei'!K131/'anexa 4 lei'!$K$4</f>
        <v>20</v>
      </c>
      <c r="L131" s="551">
        <f>'anexa 4 lei'!L131/'anexa 4 lei'!$K$4</f>
        <v>125.518</v>
      </c>
      <c r="M131" s="187">
        <f>'anexa 4 lei'!M131/'anexa 4 lei'!$K$4</f>
        <v>20</v>
      </c>
      <c r="N131" s="187">
        <f>'anexa 4 lei'!N131/'anexa 4 lei'!$K$4</f>
        <v>80</v>
      </c>
      <c r="O131" s="187">
        <f>'anexa 4 lei'!O131/'anexa 4 lei'!$K$4</f>
        <v>0</v>
      </c>
    </row>
    <row r="132" spans="1:15" hidden="1" x14ac:dyDescent="0.2">
      <c r="A132" s="826"/>
      <c r="B132" s="828"/>
      <c r="C132" s="750"/>
      <c r="D132" s="830" t="s">
        <v>212</v>
      </c>
      <c r="E132" s="830"/>
      <c r="F132" s="749">
        <f t="shared" si="1"/>
        <v>123</v>
      </c>
      <c r="G132" s="187">
        <f>'anexa 4 lei'!G132/'anexa 4 lei'!$K$4</f>
        <v>85.879530000000003</v>
      </c>
      <c r="H132" s="187">
        <f>'anexa 4 lei'!H132/'anexa 4 lei'!$K$4</f>
        <v>25.081340000000001</v>
      </c>
      <c r="I132" s="187">
        <f>'anexa 4 lei'!I132/'anexa 4 lei'!$K$4</f>
        <v>19.776669999999999</v>
      </c>
      <c r="J132" s="187">
        <f>'anexa 4 lei'!J132/'anexa 4 lei'!$K$4</f>
        <v>18.681519999999999</v>
      </c>
      <c r="K132" s="555">
        <f>'anexa 4 lei'!K132/'anexa 4 lei'!$K$4</f>
        <v>22.34</v>
      </c>
      <c r="L132" s="551">
        <f>'anexa 4 lei'!L132/'anexa 4 lei'!$K$4</f>
        <v>105.179</v>
      </c>
      <c r="M132" s="187">
        <f>'anexa 4 lei'!M132/'anexa 4 lei'!$K$4</f>
        <v>16.223928730399997</v>
      </c>
      <c r="N132" s="187">
        <f>'anexa 4 lei'!N132/'anexa 4 lei'!$K$4</f>
        <v>85.879530000000003</v>
      </c>
      <c r="O132" s="187">
        <f>'anexa 4 lei'!O132/'anexa 4 lei'!$K$4</f>
        <v>0</v>
      </c>
    </row>
    <row r="133" spans="1:15" ht="13.5" hidden="1" thickBot="1" x14ac:dyDescent="0.25">
      <c r="A133" s="826"/>
      <c r="B133" s="828"/>
      <c r="C133" s="750" t="s">
        <v>38</v>
      </c>
      <c r="D133" s="830" t="s">
        <v>213</v>
      </c>
      <c r="E133" s="830"/>
      <c r="F133" s="749">
        <f t="shared" si="1"/>
        <v>124</v>
      </c>
      <c r="G133" s="187">
        <f>'anexa 4 lei'!G133/'anexa 4 lei'!$K$4</f>
        <v>0</v>
      </c>
      <c r="H133" s="187">
        <f>'anexa 4 lei'!H133/'anexa 4 lei'!$K$4</f>
        <v>0</v>
      </c>
      <c r="I133" s="187">
        <f>'anexa 4 lei'!I133/'anexa 4 lei'!$K$4</f>
        <v>0</v>
      </c>
      <c r="J133" s="187">
        <f>'anexa 4 lei'!J133/'anexa 4 lei'!$K$4</f>
        <v>0</v>
      </c>
      <c r="K133" s="555">
        <f>'anexa 4 lei'!K133/'anexa 4 lei'!$K$4</f>
        <v>0</v>
      </c>
      <c r="L133" s="551">
        <f>'anexa 4 lei'!L133/'anexa 4 lei'!$K$4</f>
        <v>1.3280000000000001</v>
      </c>
      <c r="M133" s="187">
        <f>'anexa 4 lei'!M133/'anexa 4 lei'!$K$4</f>
        <v>30</v>
      </c>
      <c r="N133" s="187">
        <f>'anexa 4 lei'!N133/'anexa 4 lei'!$K$4</f>
        <v>0</v>
      </c>
      <c r="O133" s="187">
        <f>'anexa 4 lei'!O133/'anexa 4 lei'!$K$4</f>
        <v>0</v>
      </c>
    </row>
    <row r="134" spans="1:15" ht="13.5" hidden="1" customHeight="1" x14ac:dyDescent="0.2">
      <c r="A134" s="832"/>
      <c r="B134" s="828"/>
      <c r="C134" s="750" t="s">
        <v>40</v>
      </c>
      <c r="D134" s="837" t="s">
        <v>287</v>
      </c>
      <c r="E134" s="837"/>
      <c r="F134" s="749">
        <f t="shared" si="1"/>
        <v>125</v>
      </c>
      <c r="G134" s="187">
        <f>'anexa 4 lei'!G134/'anexa 4 lei'!$K$4</f>
        <v>0</v>
      </c>
      <c r="H134" s="187">
        <f>'anexa 4 lei'!H134/'anexa 4 lei'!$K$4</f>
        <v>0</v>
      </c>
      <c r="I134" s="187">
        <f>'anexa 4 lei'!I134/'anexa 4 lei'!$K$4</f>
        <v>0</v>
      </c>
      <c r="J134" s="187">
        <f>'anexa 4 lei'!J134/'anexa 4 lei'!$K$4</f>
        <v>0</v>
      </c>
      <c r="K134" s="555">
        <f>'anexa 4 lei'!K134/'anexa 4 lei'!$K$4</f>
        <v>0</v>
      </c>
      <c r="L134" s="551">
        <f>'anexa 4 lei'!L134/'anexa 4 lei'!$K$4</f>
        <v>0</v>
      </c>
      <c r="M134" s="187">
        <f>'anexa 4 lei'!M134/'anexa 4 lei'!$K$4</f>
        <v>0</v>
      </c>
      <c r="N134" s="187">
        <f>'anexa 4 lei'!N134/'anexa 4 lei'!$K$4</f>
        <v>0</v>
      </c>
      <c r="O134" s="187">
        <f>'anexa 4 lei'!O134/'anexa 4 lei'!$K$4</f>
        <v>0</v>
      </c>
    </row>
    <row r="135" spans="1:15" hidden="1" x14ac:dyDescent="0.2">
      <c r="A135" s="826"/>
      <c r="B135" s="828"/>
      <c r="C135" s="750" t="s">
        <v>42</v>
      </c>
      <c r="D135" s="830" t="s">
        <v>149</v>
      </c>
      <c r="E135" s="830"/>
      <c r="F135" s="749">
        <f t="shared" si="1"/>
        <v>126</v>
      </c>
      <c r="G135" s="187">
        <f>'anexa 4 lei'!G135/'anexa 4 lei'!$K$4</f>
        <v>0.40449000000000002</v>
      </c>
      <c r="H135" s="187">
        <f>'anexa 4 lei'!H135/'anexa 4 lei'!$K$4</f>
        <v>0.10149</v>
      </c>
      <c r="I135" s="187">
        <f>'anexa 4 lei'!I135/'anexa 4 lei'!$K$4</f>
        <v>0.10100000000000001</v>
      </c>
      <c r="J135" s="187">
        <f>'anexa 4 lei'!J135/'anexa 4 lei'!$K$4</f>
        <v>0.10100000000000001</v>
      </c>
      <c r="K135" s="555">
        <f>'anexa 4 lei'!K135/'anexa 4 lei'!$K$4</f>
        <v>0.10100000000000001</v>
      </c>
      <c r="L135" s="551">
        <f>'anexa 4 lei'!L135/'anexa 4 lei'!$K$4</f>
        <v>303.358</v>
      </c>
      <c r="M135" s="187">
        <f>'anexa 4 lei'!M135/'anexa 4 lei'!$K$4</f>
        <v>422.92705685299995</v>
      </c>
      <c r="N135" s="187">
        <f>'anexa 4 lei'!N135/'anexa 4 lei'!$K$4</f>
        <v>0.40449000000000002</v>
      </c>
      <c r="O135" s="187">
        <f>'anexa 4 lei'!O135/'anexa 4 lei'!$K$4</f>
        <v>0</v>
      </c>
    </row>
    <row r="136" spans="1:15" ht="13.5" hidden="1" customHeight="1" x14ac:dyDescent="0.2">
      <c r="A136" s="826"/>
      <c r="B136" s="828"/>
      <c r="C136" s="750" t="s">
        <v>28</v>
      </c>
      <c r="D136" s="837" t="s">
        <v>288</v>
      </c>
      <c r="E136" s="837"/>
      <c r="F136" s="749">
        <f t="shared" si="1"/>
        <v>127</v>
      </c>
      <c r="G136" s="187">
        <f>'anexa 4 lei'!G136/'anexa 4 lei'!$K$4</f>
        <v>7816.8031900000005</v>
      </c>
      <c r="H136" s="187">
        <f>'anexa 4 lei'!H136/'anexa 4 lei'!$K$4</f>
        <v>1825.8507299999999</v>
      </c>
      <c r="I136" s="187">
        <f>'anexa 4 lei'!I136/'anexa 4 lei'!$K$4</f>
        <v>1886.3507299999999</v>
      </c>
      <c r="J136" s="187">
        <f>'anexa 4 lei'!J136/'anexa 4 lei'!$K$4</f>
        <v>1916.3507299999999</v>
      </c>
      <c r="K136" s="555">
        <f>'anexa 4 lei'!K136/'anexa 4 lei'!$K$4</f>
        <v>2188.2510000000002</v>
      </c>
      <c r="L136" s="551">
        <f>'anexa 4 lei'!L136/'anexa 4 lei'!$K$4</f>
        <v>7099.0959999999995</v>
      </c>
      <c r="M136" s="187">
        <f>'anexa 4 lei'!M136/'anexa 4 lei'!$K$4</f>
        <v>9585.2944278565974</v>
      </c>
      <c r="N136" s="187">
        <f>'anexa 4 lei'!N136/'anexa 4 lei'!$K$4</f>
        <v>7816.8031900000005</v>
      </c>
      <c r="O136" s="187">
        <f>'anexa 4 lei'!O136/'anexa 4 lei'!$K$4</f>
        <v>0</v>
      </c>
    </row>
    <row r="137" spans="1:15" ht="36" hidden="1" customHeight="1" x14ac:dyDescent="0.2">
      <c r="A137" s="826"/>
      <c r="B137" s="828"/>
      <c r="C137" s="750" t="s">
        <v>34</v>
      </c>
      <c r="D137" s="837" t="s">
        <v>345</v>
      </c>
      <c r="E137" s="837"/>
      <c r="F137" s="749">
        <f t="shared" si="1"/>
        <v>128</v>
      </c>
      <c r="G137" s="187">
        <f>'anexa 4 lei'!G137/'anexa 4 lei'!$K$4</f>
        <v>1369.5164</v>
      </c>
      <c r="H137" s="187">
        <f>'anexa 4 lei'!H137/'anexa 4 lei'!$K$4</f>
        <v>-145.94116</v>
      </c>
      <c r="I137" s="187">
        <f>'anexa 4 lei'!I137/'anexa 4 lei'!$K$4</f>
        <v>-2400.25632</v>
      </c>
      <c r="J137" s="187">
        <f>'anexa 4 lei'!J137/'anexa 4 lei'!$K$4</f>
        <v>-102.60411999999999</v>
      </c>
      <c r="K137" s="555">
        <f>'anexa 4 lei'!K137/'anexa 4 lei'!$K$4</f>
        <v>4018.3180000000002</v>
      </c>
      <c r="L137" s="551">
        <f>'anexa 4 lei'!L137/'anexa 4 lei'!$K$4</f>
        <v>3426.2449999999999</v>
      </c>
      <c r="M137" s="187">
        <f>'anexa 4 lei'!M137/'anexa 4 lei'!$K$4</f>
        <v>3153.88535</v>
      </c>
      <c r="N137" s="187">
        <f>'anexa 4 lei'!N137/'anexa 4 lei'!$K$4</f>
        <v>1369.5164</v>
      </c>
      <c r="O137" s="187">
        <f>'anexa 4 lei'!O137/'anexa 4 lei'!$K$4</f>
        <v>0</v>
      </c>
    </row>
    <row r="138" spans="1:15" ht="28.5" hidden="1" customHeight="1" x14ac:dyDescent="0.2">
      <c r="A138" s="826"/>
      <c r="B138" s="748"/>
      <c r="C138" s="749"/>
      <c r="D138" s="749" t="s">
        <v>51</v>
      </c>
      <c r="E138" s="750" t="s">
        <v>460</v>
      </c>
      <c r="F138" s="749">
        <f t="shared" si="1"/>
        <v>129</v>
      </c>
      <c r="G138" s="187">
        <f>'anexa 4 lei'!G138/'anexa 4 lei'!$K$4</f>
        <v>4460</v>
      </c>
      <c r="H138" s="187">
        <f>'anexa 4 lei'!H138/'anexa 4 lei'!$K$4</f>
        <v>0</v>
      </c>
      <c r="I138" s="187">
        <f>'anexa 4 lei'!I138/'anexa 4 lei'!$K$4</f>
        <v>0</v>
      </c>
      <c r="J138" s="187">
        <f>'anexa 4 lei'!J138/'anexa 4 lei'!$K$4</f>
        <v>0</v>
      </c>
      <c r="K138" s="555">
        <f>'anexa 4 lei'!K138/'anexa 4 lei'!$K$4</f>
        <v>4460</v>
      </c>
      <c r="L138" s="551">
        <f>'anexa 4 lei'!L138/'anexa 4 lei'!$K$4</f>
        <v>7000</v>
      </c>
      <c r="M138" s="187">
        <f>'anexa 4 lei'!M138/'anexa 4 lei'!$K$4</f>
        <v>6420</v>
      </c>
      <c r="N138" s="187">
        <f>'anexa 4 lei'!N138/'anexa 4 lei'!$K$4</f>
        <v>4460</v>
      </c>
      <c r="O138" s="187">
        <f>'anexa 4 lei'!O138/'anexa 4 lei'!$K$4</f>
        <v>0</v>
      </c>
    </row>
    <row r="139" spans="1:15" ht="25.5" hidden="1" x14ac:dyDescent="0.2">
      <c r="A139" s="826"/>
      <c r="B139" s="748"/>
      <c r="C139" s="749"/>
      <c r="D139" s="161" t="s">
        <v>416</v>
      </c>
      <c r="E139" s="167" t="s">
        <v>417</v>
      </c>
      <c r="F139" s="749">
        <f t="shared" si="1"/>
        <v>130</v>
      </c>
      <c r="G139" s="187">
        <f>'anexa 4 lei'!G139/'anexa 4 lei'!$K$4</f>
        <v>2300</v>
      </c>
      <c r="H139" s="187">
        <f>'anexa 4 lei'!H139/'anexa 4 lei'!$K$4</f>
        <v>0</v>
      </c>
      <c r="I139" s="187">
        <f>'anexa 4 lei'!I139/'anexa 4 lei'!$K$4</f>
        <v>0</v>
      </c>
      <c r="J139" s="187">
        <f>'anexa 4 lei'!J139/'anexa 4 lei'!$K$4</f>
        <v>0</v>
      </c>
      <c r="K139" s="555">
        <f>'anexa 4 lei'!K139/'anexa 4 lei'!$K$4</f>
        <v>2300</v>
      </c>
      <c r="L139" s="551">
        <f>'anexa 4 lei'!L139/'anexa 4 lei'!$K$4</f>
        <v>2300</v>
      </c>
      <c r="M139" s="187">
        <f>'anexa 4 lei'!M139/'anexa 4 lei'!$K$4</f>
        <v>2300</v>
      </c>
      <c r="N139" s="187">
        <f>'anexa 4 lei'!N139/'anexa 4 lei'!$K$4</f>
        <v>2300</v>
      </c>
      <c r="O139" s="187">
        <f>'anexa 4 lei'!O139/'anexa 4 lei'!$K$4</f>
        <v>0</v>
      </c>
    </row>
    <row r="140" spans="1:15" ht="25.5" hidden="1" x14ac:dyDescent="0.2">
      <c r="A140" s="826"/>
      <c r="B140" s="748"/>
      <c r="C140" s="749"/>
      <c r="D140" s="161" t="s">
        <v>418</v>
      </c>
      <c r="E140" s="167" t="s">
        <v>419</v>
      </c>
      <c r="F140" s="158" t="s">
        <v>420</v>
      </c>
      <c r="G140" s="187">
        <f>'anexa 4 lei'!G140/'anexa 4 lei'!$K$4</f>
        <v>0</v>
      </c>
      <c r="H140" s="187">
        <f>'anexa 4 lei'!H140/'anexa 4 lei'!$K$4</f>
        <v>0</v>
      </c>
      <c r="I140" s="187">
        <f>'anexa 4 lei'!I140/'anexa 4 lei'!$K$4</f>
        <v>0</v>
      </c>
      <c r="J140" s="187">
        <f>'anexa 4 lei'!J140/'anexa 4 lei'!$K$4</f>
        <v>0</v>
      </c>
      <c r="K140" s="555">
        <f>'anexa 4 lei'!K140/'anexa 4 lei'!$K$4</f>
        <v>0</v>
      </c>
      <c r="L140" s="551">
        <f>'anexa 4 lei'!L140/'anexa 4 lei'!$K$4</f>
        <v>0</v>
      </c>
      <c r="M140" s="187">
        <f>'anexa 4 lei'!M140/'anexa 4 lei'!$K$4</f>
        <v>0</v>
      </c>
      <c r="N140" s="187">
        <f>'anexa 4 lei'!N140/'anexa 4 lei'!$K$4</f>
        <v>0</v>
      </c>
      <c r="O140" s="187">
        <f>'anexa 4 lei'!O140/'anexa 4 lei'!$K$4</f>
        <v>0</v>
      </c>
    </row>
    <row r="141" spans="1:15" ht="34.5" hidden="1" customHeight="1" x14ac:dyDescent="0.2">
      <c r="A141" s="826"/>
      <c r="B141" s="748"/>
      <c r="C141" s="749"/>
      <c r="D141" s="208" t="s">
        <v>52</v>
      </c>
      <c r="E141" s="747" t="s">
        <v>346</v>
      </c>
      <c r="F141" s="749">
        <v>131</v>
      </c>
      <c r="G141" s="187">
        <f>'anexa 4 lei'!G141/'anexa 4 lei'!$K$4</f>
        <v>3090.4836</v>
      </c>
      <c r="H141" s="187">
        <f>'anexa 4 lei'!H141/'anexa 4 lei'!$K$4</f>
        <v>145.94116</v>
      </c>
      <c r="I141" s="187">
        <f>'anexa 4 lei'!I141/'anexa 4 lei'!$K$4</f>
        <v>2400.25632</v>
      </c>
      <c r="J141" s="187">
        <f>'anexa 4 lei'!J141/'anexa 4 lei'!$K$4</f>
        <v>102.60411999999999</v>
      </c>
      <c r="K141" s="555">
        <f>'anexa 4 lei'!K141/'anexa 4 lei'!$K$4</f>
        <v>441.68200000000002</v>
      </c>
      <c r="L141" s="551">
        <f>'anexa 4 lei'!L141/'anexa 4 lei'!$K$4</f>
        <v>3573.7550000000001</v>
      </c>
      <c r="M141" s="187">
        <f>'anexa 4 lei'!M141/'anexa 4 lei'!$K$4</f>
        <v>3266.11465</v>
      </c>
      <c r="N141" s="187">
        <f>'anexa 4 lei'!N141/'anexa 4 lei'!$K$4</f>
        <v>3090.4836</v>
      </c>
      <c r="O141" s="187">
        <f>'anexa 4 lei'!O141/'anexa 4 lei'!$K$4</f>
        <v>0</v>
      </c>
    </row>
    <row r="142" spans="1:15" ht="20.25" hidden="1" customHeight="1" x14ac:dyDescent="0.2">
      <c r="A142" s="826"/>
      <c r="B142" s="748"/>
      <c r="C142" s="749"/>
      <c r="D142" s="208" t="s">
        <v>65</v>
      </c>
      <c r="E142" s="747" t="s">
        <v>459</v>
      </c>
      <c r="F142" s="749">
        <f>F141+1</f>
        <v>132</v>
      </c>
      <c r="G142" s="187">
        <f>'anexa 4 lei'!G142/'anexa 4 lei'!$K$4</f>
        <v>3090.4836</v>
      </c>
      <c r="H142" s="187">
        <f>'anexa 4 lei'!H142/'anexa 4 lei'!$K$4</f>
        <v>145.94116</v>
      </c>
      <c r="I142" s="187">
        <f>'anexa 4 lei'!I142/'anexa 4 lei'!$K$4</f>
        <v>2400.25632</v>
      </c>
      <c r="J142" s="187">
        <f>'anexa 4 lei'!J142/'anexa 4 lei'!$K$4</f>
        <v>102.60411999999999</v>
      </c>
      <c r="K142" s="555">
        <f>'anexa 4 lei'!K142/'anexa 4 lei'!$K$4</f>
        <v>441.68200000000002</v>
      </c>
      <c r="L142" s="551">
        <f>'anexa 4 lei'!L142/'anexa 4 lei'!$K$4</f>
        <v>3573.7550000000001</v>
      </c>
      <c r="M142" s="187">
        <f>'anexa 4 lei'!M142/'anexa 4 lei'!$K$4</f>
        <v>3266.11465</v>
      </c>
      <c r="N142" s="187">
        <f>'anexa 4 lei'!N142/'anexa 4 lei'!$K$4</f>
        <v>3090.4836</v>
      </c>
      <c r="O142" s="187">
        <f>'anexa 4 lei'!O142/'anexa 4 lei'!$K$4</f>
        <v>0</v>
      </c>
    </row>
    <row r="143" spans="1:15" hidden="1" x14ac:dyDescent="0.2">
      <c r="A143" s="826"/>
      <c r="B143" s="748"/>
      <c r="C143" s="749"/>
      <c r="D143" s="749"/>
      <c r="E143" s="750" t="s">
        <v>426</v>
      </c>
      <c r="F143" s="749">
        <f t="shared" ref="F143:F162" si="2">F142+1</f>
        <v>133</v>
      </c>
      <c r="G143" s="187">
        <f>'anexa 4 lei'!G143/'anexa 4 lei'!$K$4</f>
        <v>2300</v>
      </c>
      <c r="H143" s="187">
        <f>'anexa 4 lei'!H143/'anexa 4 lei'!$K$4</f>
        <v>0</v>
      </c>
      <c r="I143" s="187">
        <f>'anexa 4 lei'!I143/'anexa 4 lei'!$K$4</f>
        <v>2300</v>
      </c>
      <c r="J143" s="187">
        <f>'anexa 4 lei'!J143/'anexa 4 lei'!$K$4</f>
        <v>0</v>
      </c>
      <c r="K143" s="555">
        <f>'anexa 4 lei'!K143/'anexa 4 lei'!$K$4</f>
        <v>0</v>
      </c>
      <c r="L143" s="551">
        <f>'anexa 4 lei'!L143/'anexa 4 lei'!$K$4</f>
        <v>2100</v>
      </c>
      <c r="M143" s="187">
        <f>'anexa 4 lei'!M143/'anexa 4 lei'!$K$4</f>
        <v>2000</v>
      </c>
      <c r="N143" s="187">
        <f>'anexa 4 lei'!N143/'anexa 4 lei'!$K$4</f>
        <v>2300</v>
      </c>
      <c r="O143" s="187">
        <f>'anexa 4 lei'!O143/'anexa 4 lei'!$K$4</f>
        <v>0</v>
      </c>
    </row>
    <row r="144" spans="1:15" ht="25.5" hidden="1" x14ac:dyDescent="0.2">
      <c r="A144" s="826"/>
      <c r="B144" s="748"/>
      <c r="C144" s="749"/>
      <c r="D144" s="749"/>
      <c r="E144" s="747" t="s">
        <v>347</v>
      </c>
      <c r="F144" s="749">
        <f t="shared" si="2"/>
        <v>134</v>
      </c>
      <c r="G144" s="187">
        <f>'anexa 4 lei'!G144/'anexa 4 lei'!$K$4</f>
        <v>748.00599999999997</v>
      </c>
      <c r="H144" s="187">
        <f>'anexa 4 lei'!H144/'anexa 4 lei'!$K$4</f>
        <v>134.85400000000001</v>
      </c>
      <c r="I144" s="187">
        <f>'anexa 4 lei'!I144/'anexa 4 lei'!$K$4</f>
        <v>90.823999999999998</v>
      </c>
      <c r="J144" s="187">
        <f>'anexa 4 lei'!J144/'anexa 4 lei'!$K$4</f>
        <v>92.125</v>
      </c>
      <c r="K144" s="555">
        <f>'anexa 4 lei'!K144/'anexa 4 lei'!$K$4</f>
        <v>430.20299999999997</v>
      </c>
      <c r="L144" s="551">
        <f>'anexa 4 lei'!L144/'anexa 4 lei'!$K$4</f>
        <v>778.98199999999997</v>
      </c>
      <c r="M144" s="187">
        <f>'anexa 4 lei'!M144/'anexa 4 lei'!$K$4</f>
        <v>1266.11465</v>
      </c>
      <c r="N144" s="187">
        <f>'anexa 4 lei'!N144/'anexa 4 lei'!$K$4</f>
        <v>748.00599999999997</v>
      </c>
      <c r="O144" s="187">
        <f>'anexa 4 lei'!O144/'anexa 4 lei'!$K$4</f>
        <v>0</v>
      </c>
    </row>
    <row r="145" spans="1:15" hidden="1" x14ac:dyDescent="0.2">
      <c r="A145" s="826"/>
      <c r="B145" s="748"/>
      <c r="C145" s="749"/>
      <c r="D145" s="749"/>
      <c r="E145" s="750" t="s">
        <v>348</v>
      </c>
      <c r="F145" s="749">
        <f t="shared" si="2"/>
        <v>135</v>
      </c>
      <c r="G145" s="187">
        <f>'anexa 4 lei'!G145/'anexa 4 lei'!$K$4</f>
        <v>42.477599999999995</v>
      </c>
      <c r="H145" s="187">
        <f>'anexa 4 lei'!H145/'anexa 4 lei'!$K$4</f>
        <v>11.087159999999999</v>
      </c>
      <c r="I145" s="187">
        <f>'anexa 4 lei'!I145/'anexa 4 lei'!$K$4</f>
        <v>9.4323199999999989</v>
      </c>
      <c r="J145" s="187">
        <f>'anexa 4 lei'!J145/'anexa 4 lei'!$K$4</f>
        <v>10.47912</v>
      </c>
      <c r="K145" s="555">
        <f>'anexa 4 lei'!K145/'anexa 4 lei'!$K$4</f>
        <v>11.478999999999999</v>
      </c>
      <c r="L145" s="551">
        <f>'anexa 4 lei'!L145/'anexa 4 lei'!$K$4</f>
        <v>694.77300000000002</v>
      </c>
      <c r="M145" s="187">
        <f>'anexa 4 lei'!M145/'anexa 4 lei'!$K$4</f>
        <v>0</v>
      </c>
      <c r="N145" s="187">
        <f>'anexa 4 lei'!N145/'anexa 4 lei'!$K$4</f>
        <v>42.477599999999995</v>
      </c>
      <c r="O145" s="187">
        <f>'anexa 4 lei'!O145/'anexa 4 lei'!$K$4</f>
        <v>0</v>
      </c>
    </row>
    <row r="146" spans="1:15" ht="36" hidden="1" customHeight="1" x14ac:dyDescent="0.2">
      <c r="A146" s="826"/>
      <c r="B146" s="748" t="s">
        <v>21</v>
      </c>
      <c r="C146" s="749"/>
      <c r="D146" s="829" t="s">
        <v>471</v>
      </c>
      <c r="E146" s="829"/>
      <c r="F146" s="749">
        <f t="shared" si="2"/>
        <v>136</v>
      </c>
      <c r="G146" s="187">
        <f>'anexa 4 lei'!G146/'anexa 4 lei'!$K$4</f>
        <v>1810</v>
      </c>
      <c r="H146" s="187">
        <f>'anexa 4 lei'!H146/'anexa 4 lei'!$K$4</f>
        <v>570</v>
      </c>
      <c r="I146" s="187">
        <f>'anexa 4 lei'!I146/'anexa 4 lei'!$K$4</f>
        <v>200</v>
      </c>
      <c r="J146" s="187">
        <f>'anexa 4 lei'!J146/'anexa 4 lei'!$K$4</f>
        <v>755</v>
      </c>
      <c r="K146" s="555">
        <f>'anexa 4 lei'!K146/'anexa 4 lei'!$K$4</f>
        <v>285</v>
      </c>
      <c r="L146" s="551">
        <f>'anexa 4 lei'!L146/'anexa 4 lei'!$K$4</f>
        <v>1789.077</v>
      </c>
      <c r="M146" s="187">
        <f>'anexa 4 lei'!M146/'anexa 4 lei'!$K$4</f>
        <v>2401.1790000000001</v>
      </c>
      <c r="N146" s="187">
        <f>'anexa 4 lei'!N146/'anexa 4 lei'!$K$4</f>
        <v>1810</v>
      </c>
      <c r="O146" s="187">
        <f>'anexa 4 lei'!O146/'anexa 4 lei'!$K$4</f>
        <v>0</v>
      </c>
    </row>
    <row r="147" spans="1:15" hidden="1" x14ac:dyDescent="0.2">
      <c r="A147" s="826"/>
      <c r="B147" s="828"/>
      <c r="C147" s="749" t="s">
        <v>27</v>
      </c>
      <c r="D147" s="831" t="s">
        <v>461</v>
      </c>
      <c r="E147" s="831"/>
      <c r="F147" s="749">
        <f t="shared" si="2"/>
        <v>137</v>
      </c>
      <c r="G147" s="187">
        <f>'anexa 4 lei'!G147/'anexa 4 lei'!$K$4</f>
        <v>900</v>
      </c>
      <c r="H147" s="187">
        <f>'anexa 4 lei'!H147/'anexa 4 lei'!$K$4</f>
        <v>400</v>
      </c>
      <c r="I147" s="187">
        <f>'anexa 4 lei'!I147/'anexa 4 lei'!$K$4</f>
        <v>0</v>
      </c>
      <c r="J147" s="187">
        <f>'anexa 4 lei'!J147/'anexa 4 lei'!$K$4</f>
        <v>500</v>
      </c>
      <c r="K147" s="555">
        <f>'anexa 4 lei'!K147/'anexa 4 lei'!$K$4</f>
        <v>0</v>
      </c>
      <c r="L147" s="551">
        <f>'anexa 4 lei'!L147/'anexa 4 lei'!$K$4</f>
        <v>609.61800000000005</v>
      </c>
      <c r="M147" s="187">
        <f>'anexa 4 lei'!M147/'anexa 4 lei'!$K$4</f>
        <v>801.17899999999997</v>
      </c>
      <c r="N147" s="187">
        <f>'anexa 4 lei'!N147/'anexa 4 lei'!$K$4</f>
        <v>900</v>
      </c>
      <c r="O147" s="187">
        <f>'anexa 4 lei'!O147/'anexa 4 lei'!$K$4</f>
        <v>0</v>
      </c>
    </row>
    <row r="148" spans="1:15" hidden="1" x14ac:dyDescent="0.2">
      <c r="A148" s="826"/>
      <c r="B148" s="828"/>
      <c r="C148" s="749"/>
      <c r="D148" s="749" t="s">
        <v>237</v>
      </c>
      <c r="E148" s="750" t="s">
        <v>294</v>
      </c>
      <c r="F148" s="749">
        <f t="shared" si="2"/>
        <v>138</v>
      </c>
      <c r="G148" s="187">
        <f>'anexa 4 lei'!G148/'anexa 4 lei'!$K$4</f>
        <v>900</v>
      </c>
      <c r="H148" s="187">
        <f>'anexa 4 lei'!H148/'anexa 4 lei'!$K$4</f>
        <v>400</v>
      </c>
      <c r="I148" s="187">
        <f>'anexa 4 lei'!I148/'anexa 4 lei'!$K$4</f>
        <v>0</v>
      </c>
      <c r="J148" s="187">
        <f>'anexa 4 lei'!J148/'anexa 4 lei'!$K$4</f>
        <v>500</v>
      </c>
      <c r="K148" s="555">
        <f>'anexa 4 lei'!K148/'anexa 4 lei'!$K$4</f>
        <v>0</v>
      </c>
      <c r="L148" s="551">
        <f>'anexa 4 lei'!L148/'anexa 4 lei'!$K$4</f>
        <v>609.61800000000005</v>
      </c>
      <c r="M148" s="187">
        <f>'anexa 4 lei'!M148/'anexa 4 lei'!$K$4</f>
        <v>801.17899999999997</v>
      </c>
      <c r="N148" s="187">
        <f>'anexa 4 lei'!N148/'anexa 4 lei'!$K$4</f>
        <v>900</v>
      </c>
      <c r="O148" s="187">
        <f>'anexa 4 lei'!O148/'anexa 4 lei'!$K$4</f>
        <v>0</v>
      </c>
    </row>
    <row r="149" spans="1:15" hidden="1" x14ac:dyDescent="0.2">
      <c r="A149" s="826"/>
      <c r="B149" s="828"/>
      <c r="C149" s="749"/>
      <c r="D149" s="749" t="s">
        <v>66</v>
      </c>
      <c r="E149" s="750" t="s">
        <v>349</v>
      </c>
      <c r="F149" s="749">
        <f t="shared" si="2"/>
        <v>139</v>
      </c>
      <c r="G149" s="187">
        <f>'anexa 4 lei'!G149/'anexa 4 lei'!$K$4</f>
        <v>0</v>
      </c>
      <c r="H149" s="187">
        <f>'anexa 4 lei'!H149/'anexa 4 lei'!$K$4</f>
        <v>0</v>
      </c>
      <c r="I149" s="187">
        <f>'anexa 4 lei'!I149/'anexa 4 lei'!$K$4</f>
        <v>0</v>
      </c>
      <c r="J149" s="187">
        <f>'anexa 4 lei'!J149/'anexa 4 lei'!$K$4</f>
        <v>0</v>
      </c>
      <c r="K149" s="555">
        <f>'anexa 4 lei'!K149/'anexa 4 lei'!$K$4</f>
        <v>0</v>
      </c>
      <c r="L149" s="551">
        <f>'anexa 4 lei'!L149/'anexa 4 lei'!$K$4</f>
        <v>0</v>
      </c>
      <c r="M149" s="187">
        <f>'anexa 4 lei'!M149/'anexa 4 lei'!$K$4</f>
        <v>0</v>
      </c>
      <c r="N149" s="187">
        <f>'anexa 4 lei'!N149/'anexa 4 lei'!$K$4</f>
        <v>0</v>
      </c>
      <c r="O149" s="187">
        <f>'anexa 4 lei'!O149/'anexa 4 lei'!$K$4</f>
        <v>0</v>
      </c>
    </row>
    <row r="150" spans="1:15" ht="35.25" hidden="1" customHeight="1" x14ac:dyDescent="0.2">
      <c r="A150" s="826"/>
      <c r="B150" s="828"/>
      <c r="C150" s="749" t="s">
        <v>38</v>
      </c>
      <c r="D150" s="829" t="s">
        <v>440</v>
      </c>
      <c r="E150" s="829"/>
      <c r="F150" s="749">
        <f t="shared" si="2"/>
        <v>140</v>
      </c>
      <c r="G150" s="187">
        <f>'anexa 4 lei'!G150/'anexa 4 lei'!$K$4</f>
        <v>660</v>
      </c>
      <c r="H150" s="187">
        <f>'anexa 4 lei'!H150/'anexa 4 lei'!$K$4</f>
        <v>120</v>
      </c>
      <c r="I150" s="187">
        <f>'anexa 4 lei'!I150/'anexa 4 lei'!$K$4</f>
        <v>140</v>
      </c>
      <c r="J150" s="187">
        <f>'anexa 4 lei'!J150/'anexa 4 lei'!$K$4</f>
        <v>180</v>
      </c>
      <c r="K150" s="555">
        <f>'anexa 4 lei'!K150/'anexa 4 lei'!$K$4</f>
        <v>220</v>
      </c>
      <c r="L150" s="551">
        <f>'anexa 4 lei'!L150/'anexa 4 lei'!$K$4</f>
        <v>938.39400000000001</v>
      </c>
      <c r="M150" s="187">
        <f>'anexa 4 lei'!M150/'anexa 4 lei'!$K$4</f>
        <v>1100</v>
      </c>
      <c r="N150" s="187">
        <f>'anexa 4 lei'!N150/'anexa 4 lei'!$K$4</f>
        <v>660</v>
      </c>
      <c r="O150" s="187">
        <f>'anexa 4 lei'!O150/'anexa 4 lei'!$K$4</f>
        <v>0</v>
      </c>
    </row>
    <row r="151" spans="1:15" hidden="1" x14ac:dyDescent="0.2">
      <c r="A151" s="826"/>
      <c r="B151" s="828"/>
      <c r="C151" s="749"/>
      <c r="D151" s="749" t="s">
        <v>76</v>
      </c>
      <c r="E151" s="750" t="s">
        <v>294</v>
      </c>
      <c r="F151" s="749">
        <f t="shared" si="2"/>
        <v>141</v>
      </c>
      <c r="G151" s="187">
        <f>'anexa 4 lei'!G151/'anexa 4 lei'!$K$4</f>
        <v>660</v>
      </c>
      <c r="H151" s="187">
        <f>'anexa 4 lei'!H151/'anexa 4 lei'!$K$4</f>
        <v>120</v>
      </c>
      <c r="I151" s="187">
        <f>'anexa 4 lei'!I151/'anexa 4 lei'!$K$4</f>
        <v>140</v>
      </c>
      <c r="J151" s="187">
        <f>'anexa 4 lei'!J151/'anexa 4 lei'!$K$4</f>
        <v>180</v>
      </c>
      <c r="K151" s="555">
        <f>'anexa 4 lei'!K151/'anexa 4 lei'!$K$4</f>
        <v>220</v>
      </c>
      <c r="L151" s="551">
        <f>'anexa 4 lei'!L151/'anexa 4 lei'!$K$4</f>
        <v>938.39400000000001</v>
      </c>
      <c r="M151" s="187">
        <f>'anexa 4 lei'!M151/'anexa 4 lei'!$K$4</f>
        <v>1100</v>
      </c>
      <c r="N151" s="187">
        <f>'anexa 4 lei'!N151/'anexa 4 lei'!$K$4</f>
        <v>660</v>
      </c>
      <c r="O151" s="187">
        <f>'anexa 4 lei'!O151/'anexa 4 lei'!$K$4</f>
        <v>0</v>
      </c>
    </row>
    <row r="152" spans="1:15" hidden="1" x14ac:dyDescent="0.2">
      <c r="A152" s="826"/>
      <c r="B152" s="828"/>
      <c r="C152" s="749"/>
      <c r="D152" s="749" t="s">
        <v>99</v>
      </c>
      <c r="E152" s="750" t="s">
        <v>295</v>
      </c>
      <c r="F152" s="749">
        <f t="shared" si="2"/>
        <v>142</v>
      </c>
      <c r="G152" s="187">
        <f>'anexa 4 lei'!G152/'anexa 4 lei'!$K$4</f>
        <v>0</v>
      </c>
      <c r="H152" s="187">
        <f>'anexa 4 lei'!H152/'anexa 4 lei'!$K$4</f>
        <v>0</v>
      </c>
      <c r="I152" s="187">
        <f>'anexa 4 lei'!I152/'anexa 4 lei'!$K$4</f>
        <v>0</v>
      </c>
      <c r="J152" s="187">
        <f>'anexa 4 lei'!J152/'anexa 4 lei'!$K$4</f>
        <v>0</v>
      </c>
      <c r="K152" s="555">
        <f>'anexa 4 lei'!K152/'anexa 4 lei'!$K$4</f>
        <v>0</v>
      </c>
      <c r="L152" s="551">
        <f>'anexa 4 lei'!L152/'anexa 4 lei'!$K$4</f>
        <v>0</v>
      </c>
      <c r="M152" s="187">
        <f>'anexa 4 lei'!M152/'anexa 4 lei'!$K$4</f>
        <v>0</v>
      </c>
      <c r="N152" s="187">
        <f>'anexa 4 lei'!N152/'anexa 4 lei'!$K$4</f>
        <v>0</v>
      </c>
      <c r="O152" s="187">
        <f>'anexa 4 lei'!O152/'anexa 4 lei'!$K$4</f>
        <v>0</v>
      </c>
    </row>
    <row r="153" spans="1:15" hidden="1" x14ac:dyDescent="0.2">
      <c r="A153" s="826"/>
      <c r="B153" s="828"/>
      <c r="C153" s="749" t="s">
        <v>40</v>
      </c>
      <c r="D153" s="830" t="s">
        <v>296</v>
      </c>
      <c r="E153" s="830"/>
      <c r="F153" s="749">
        <f t="shared" si="2"/>
        <v>143</v>
      </c>
      <c r="G153" s="187">
        <f>'anexa 4 lei'!G153/'anexa 4 lei'!$K$4</f>
        <v>250</v>
      </c>
      <c r="H153" s="187">
        <f>'anexa 4 lei'!H153/'anexa 4 lei'!$K$4</f>
        <v>50</v>
      </c>
      <c r="I153" s="187">
        <f>'anexa 4 lei'!I153/'anexa 4 lei'!$K$4</f>
        <v>60</v>
      </c>
      <c r="J153" s="187">
        <f>'anexa 4 lei'!J153/'anexa 4 lei'!$K$4</f>
        <v>75</v>
      </c>
      <c r="K153" s="555">
        <f>'anexa 4 lei'!K153/'anexa 4 lei'!$K$4</f>
        <v>65</v>
      </c>
      <c r="L153" s="551">
        <f>'anexa 4 lei'!L153/'anexa 4 lei'!$K$4</f>
        <v>241.065</v>
      </c>
      <c r="M153" s="187">
        <f>'anexa 4 lei'!M153/'anexa 4 lei'!$K$4</f>
        <v>500</v>
      </c>
      <c r="N153" s="187">
        <f>'anexa 4 lei'!N153/'anexa 4 lei'!$K$4</f>
        <v>250</v>
      </c>
      <c r="O153" s="187">
        <f>'anexa 4 lei'!O153/'anexa 4 lei'!$K$4</f>
        <v>0</v>
      </c>
    </row>
    <row r="154" spans="1:15" ht="13.5" hidden="1" thickBot="1" x14ac:dyDescent="0.25">
      <c r="A154" s="826"/>
      <c r="B154" s="218" t="s">
        <v>17</v>
      </c>
      <c r="C154" s="221"/>
      <c r="D154" s="839" t="s">
        <v>129</v>
      </c>
      <c r="E154" s="839"/>
      <c r="F154" s="745">
        <f t="shared" si="2"/>
        <v>144</v>
      </c>
      <c r="G154" s="219">
        <f>'anexa 4 lei'!G154/'anexa 4 lei'!$K$4</f>
        <v>0</v>
      </c>
      <c r="H154" s="219">
        <f>'anexa 4 lei'!H154/'anexa 4 lei'!$K$4</f>
        <v>0</v>
      </c>
      <c r="I154" s="219">
        <f>'anexa 4 lei'!I154/'anexa 4 lei'!$K$4</f>
        <v>0</v>
      </c>
      <c r="J154" s="219">
        <f>'anexa 4 lei'!J154/'anexa 4 lei'!$K$4</f>
        <v>0</v>
      </c>
      <c r="K154" s="556">
        <f>'anexa 4 lei'!K154/'anexa 4 lei'!$K$4</f>
        <v>0</v>
      </c>
      <c r="L154" s="552">
        <f>'anexa 4 lei'!L154/'anexa 4 lei'!$K$4</f>
        <v>0</v>
      </c>
      <c r="M154" s="219">
        <f>'anexa 4 lei'!M154/'anexa 4 lei'!$K$4</f>
        <v>0</v>
      </c>
      <c r="N154" s="219">
        <f>'anexa 4 lei'!N154/'anexa 4 lei'!$K$4</f>
        <v>0</v>
      </c>
      <c r="O154" s="219">
        <f>'anexa 4 lei'!O154/'anexa 4 lei'!$K$4</f>
        <v>0</v>
      </c>
    </row>
    <row r="155" spans="1:15" s="157" customFormat="1" ht="27.75" customHeight="1" thickBot="1" x14ac:dyDescent="0.25">
      <c r="A155" s="755" t="s">
        <v>130</v>
      </c>
      <c r="B155" s="752"/>
      <c r="C155" s="746"/>
      <c r="D155" s="840" t="s">
        <v>441</v>
      </c>
      <c r="E155" s="841"/>
      <c r="F155" s="746">
        <f t="shared" si="2"/>
        <v>145</v>
      </c>
      <c r="G155" s="220">
        <f>'anexa 4 lei'!G155/'anexa 4 lei'!$K$4</f>
        <v>11909.218905120011</v>
      </c>
      <c r="H155" s="220">
        <f>'anexa 4 lei'!H155/'anexa 4 lei'!$K$4</f>
        <v>5834.4981864799975</v>
      </c>
      <c r="I155" s="220">
        <f>'anexa 4 lei'!I155/'anexa 4 lei'!$K$4</f>
        <v>5317.015675659999</v>
      </c>
      <c r="J155" s="220">
        <f>'anexa 4 lei'!J155/'anexa 4 lei'!$K$4</f>
        <v>2581.0243249199984</v>
      </c>
      <c r="K155" s="557">
        <f>'anexa 4 lei'!K155/'anexa 4 lei'!$K$4</f>
        <v>-1823.3192819399976</v>
      </c>
      <c r="L155" s="553">
        <f>'anexa 4 lei'!L155/'anexa 4 lei'!$K$4</f>
        <v>33560.104365480009</v>
      </c>
      <c r="M155" s="547">
        <f>'anexa 4 lei'!M155/'anexa 4 lei'!$K$4</f>
        <v>21557.110070958661</v>
      </c>
      <c r="N155" s="742">
        <f>'anexa 4 lei'!N155/'anexa 4 lei'!$K$4</f>
        <v>17588.385905120012</v>
      </c>
      <c r="O155" s="547">
        <f>'anexa 4 lei'!O155/'anexa 4 lei'!$K$4</f>
        <v>-5679.1670000000004</v>
      </c>
    </row>
    <row r="156" spans="1:15" s="157" customFormat="1" ht="13.5" hidden="1" thickBot="1" x14ac:dyDescent="0.25">
      <c r="A156" s="222"/>
      <c r="B156" s="223"/>
      <c r="C156" s="224"/>
      <c r="D156" s="225"/>
      <c r="E156" s="225" t="s">
        <v>421</v>
      </c>
      <c r="F156" s="756">
        <f t="shared" si="2"/>
        <v>146</v>
      </c>
      <c r="G156" s="216">
        <f>'anexa 4 lei'!G156/'anexa 4 lei'!$K$4</f>
        <v>3090.4836</v>
      </c>
      <c r="H156" s="216">
        <f>'anexa 4 lei'!H156/'anexa 4 lei'!$K$4</f>
        <v>145.94116</v>
      </c>
      <c r="I156" s="216">
        <f>'anexa 4 lei'!I156/'anexa 4 lei'!$K$4</f>
        <v>2400.25632</v>
      </c>
      <c r="J156" s="216">
        <f>'anexa 4 lei'!J156/'anexa 4 lei'!$K$4</f>
        <v>102.60411999999999</v>
      </c>
      <c r="K156" s="558">
        <f>'anexa 4 lei'!K156/'anexa 4 lei'!$K$4</f>
        <v>441.68200000000002</v>
      </c>
      <c r="L156" s="554">
        <f>'anexa 4 lei'!L156/'anexa 4 lei'!$K$4</f>
        <v>3573.7550000000001</v>
      </c>
      <c r="M156" s="216">
        <f>'anexa 4 lei'!M156/'anexa 4 lei'!$K$4</f>
        <v>3266.11465</v>
      </c>
      <c r="N156" s="216">
        <f>'anexa 4 lei'!N156/'anexa 4 lei'!$K$4</f>
        <v>3090.4836</v>
      </c>
      <c r="O156" s="216">
        <f>'anexa 4 lei'!O156/'anexa 4 lei'!$K$4</f>
        <v>0</v>
      </c>
    </row>
    <row r="157" spans="1:15" ht="13.5" hidden="1" thickBot="1" x14ac:dyDescent="0.25">
      <c r="A157" s="751"/>
      <c r="B157" s="218"/>
      <c r="C157" s="745"/>
      <c r="D157" s="168"/>
      <c r="E157" s="168" t="s">
        <v>297</v>
      </c>
      <c r="F157" s="745">
        <f t="shared" si="2"/>
        <v>147</v>
      </c>
      <c r="G157" s="219">
        <f>'anexa 4 lei'!G157/'anexa 4 lei'!$K$4</f>
        <v>4460</v>
      </c>
      <c r="H157" s="219">
        <f>'anexa 4 lei'!H157/'anexa 4 lei'!$K$4</f>
        <v>0</v>
      </c>
      <c r="I157" s="219">
        <f>'anexa 4 lei'!I157/'anexa 4 lei'!$K$4</f>
        <v>0</v>
      </c>
      <c r="J157" s="219">
        <f>'anexa 4 lei'!J157/'anexa 4 lei'!$K$4</f>
        <v>0</v>
      </c>
      <c r="K157" s="556">
        <f>'anexa 4 lei'!K157/'anexa 4 lei'!$K$4</f>
        <v>4460</v>
      </c>
      <c r="L157" s="552">
        <f>'anexa 4 lei'!L157/'anexa 4 lei'!$K$4</f>
        <v>7000</v>
      </c>
      <c r="M157" s="219">
        <f>'anexa 4 lei'!M157/'anexa 4 lei'!$K$4</f>
        <v>6420</v>
      </c>
      <c r="N157" s="219">
        <f>'anexa 4 lei'!N157/'anexa 4 lei'!$K$4</f>
        <v>4460</v>
      </c>
      <c r="O157" s="219">
        <f>'anexa 4 lei'!O157/'anexa 4 lei'!$K$4</f>
        <v>0</v>
      </c>
    </row>
    <row r="158" spans="1:15" s="157" customFormat="1" ht="15.75" hidden="1" thickBot="1" x14ac:dyDescent="0.25">
      <c r="A158" s="755" t="s">
        <v>132</v>
      </c>
      <c r="B158" s="752"/>
      <c r="C158" s="746"/>
      <c r="D158" s="835" t="s">
        <v>133</v>
      </c>
      <c r="E158" s="835"/>
      <c r="F158" s="746">
        <f t="shared" si="2"/>
        <v>148</v>
      </c>
      <c r="G158" s="220">
        <f>'anexa 4 lei'!G158/'anexa 4 lei'!$K$4</f>
        <v>2399.9524008191997</v>
      </c>
      <c r="H158" s="220">
        <f>'anexa 4 lei'!H158/'anexa 4 lei'!$K$4</f>
        <v>956.87029543679967</v>
      </c>
      <c r="I158" s="220">
        <f>'anexa 4 lei'!I158/'anexa 4 lei'!$K$4</f>
        <v>1234.7635193055999</v>
      </c>
      <c r="J158" s="220">
        <f>'anexa 4 lei'!J158/'anexa 4 lei'!$K$4</f>
        <v>429.38055118719984</v>
      </c>
      <c r="K158" s="557">
        <f>'anexa 4 lei'!K158/'anexa 4 lei'!$K$4</f>
        <v>-221.06196511039963</v>
      </c>
      <c r="L158" s="553">
        <f>'anexa 4 lei'!L158/'anexa 4 lei'!$K$4</f>
        <v>6542.3747784768002</v>
      </c>
      <c r="M158" s="547">
        <f>'anexa 4 lei'!M158/'anexa 4 lei'!$K$4</f>
        <v>4476.337611353385</v>
      </c>
      <c r="N158" s="742">
        <f>'anexa 4 lei'!N158/'anexa 4 lei'!$K$4</f>
        <v>3308.6191208191995</v>
      </c>
      <c r="O158" s="547">
        <f>'anexa 4 lei'!O158/'anexa 4 lei'!$K$4</f>
        <v>-908.66671999999971</v>
      </c>
    </row>
    <row r="159" spans="1:15" ht="15.75" hidden="1" customHeight="1" x14ac:dyDescent="0.2">
      <c r="A159" s="244" t="s">
        <v>134</v>
      </c>
      <c r="B159" s="226"/>
      <c r="C159" s="162"/>
      <c r="D159" s="842" t="s">
        <v>422</v>
      </c>
      <c r="E159" s="842"/>
      <c r="F159" s="756">
        <f t="shared" si="2"/>
        <v>149</v>
      </c>
      <c r="G159" s="216">
        <f>'anexa 4 lei'!G160/'anexa 4 lei'!$K$4</f>
        <v>0</v>
      </c>
      <c r="H159" s="216">
        <f>'anexa 4 lei'!H160/'anexa 4 lei'!$K$4</f>
        <v>0</v>
      </c>
      <c r="I159" s="216">
        <f>'anexa 4 lei'!I160/'anexa 4 lei'!$K$4</f>
        <v>0</v>
      </c>
      <c r="J159" s="216">
        <f>'anexa 4 lei'!J160/'anexa 4 lei'!$K$4</f>
        <v>0</v>
      </c>
      <c r="K159" s="558">
        <f>'anexa 4 lei'!K160/'anexa 4 lei'!$K$4</f>
        <v>0</v>
      </c>
      <c r="L159" s="554">
        <f>'anexa 4 lei'!L160/'anexa 4 lei'!$K$4</f>
        <v>0</v>
      </c>
      <c r="M159" s="216">
        <f>'anexa 4 lei'!M160/'anexa 4 lei'!$K$4</f>
        <v>0</v>
      </c>
      <c r="N159" s="216">
        <f>'anexa 4 lei'!N159/'anexa 4 lei'!$K$4</f>
        <v>0</v>
      </c>
      <c r="O159" s="216">
        <f>'anexa 4 lei'!O159/'anexa 4 lei'!$K$4</f>
        <v>0</v>
      </c>
    </row>
    <row r="160" spans="1:15" ht="13.5" hidden="1" customHeight="1" x14ac:dyDescent="0.2">
      <c r="A160" s="245" t="s">
        <v>141</v>
      </c>
      <c r="B160" s="209"/>
      <c r="C160" s="163"/>
      <c r="D160" s="843" t="s">
        <v>547</v>
      </c>
      <c r="E160" s="843"/>
      <c r="F160" s="749">
        <f t="shared" si="2"/>
        <v>150</v>
      </c>
      <c r="G160" s="187">
        <f>G138</f>
        <v>4460</v>
      </c>
      <c r="H160" s="187">
        <f t="shared" ref="H160:K160" si="3">H138</f>
        <v>0</v>
      </c>
      <c r="I160" s="187">
        <f t="shared" si="3"/>
        <v>0</v>
      </c>
      <c r="J160" s="187">
        <f t="shared" si="3"/>
        <v>0</v>
      </c>
      <c r="K160" s="555">
        <f t="shared" si="3"/>
        <v>4460</v>
      </c>
      <c r="L160" s="551">
        <f>'anexa 4 lei'!L161/'anexa 4 lei'!$K$4</f>
        <v>0</v>
      </c>
      <c r="M160" s="187">
        <f>'anexa 4 lei'!M161/'anexa 4 lei'!$K$4</f>
        <v>0</v>
      </c>
      <c r="N160" s="187">
        <f>'anexa 4 lei'!N160/'anexa 4 lei'!$K$4</f>
        <v>0</v>
      </c>
      <c r="O160" s="187">
        <f>'anexa 4 lei'!O160/'anexa 4 lei'!$K$4</f>
        <v>0</v>
      </c>
    </row>
    <row r="161" spans="1:15" hidden="1" x14ac:dyDescent="0.2">
      <c r="A161" s="246" t="s">
        <v>143</v>
      </c>
      <c r="B161" s="210"/>
      <c r="C161" s="164"/>
      <c r="D161" s="164" t="s">
        <v>424</v>
      </c>
      <c r="E161" s="164"/>
      <c r="F161" s="749">
        <f t="shared" si="2"/>
        <v>151</v>
      </c>
      <c r="G161" s="187">
        <v>944</v>
      </c>
      <c r="H161" s="187">
        <v>934</v>
      </c>
      <c r="I161" s="187">
        <v>941</v>
      </c>
      <c r="J161" s="187">
        <v>948</v>
      </c>
      <c r="K161" s="555">
        <v>954</v>
      </c>
      <c r="L161" s="551">
        <f>'anexa 4 lei'!L162/'anexa 4 lei'!$K$4</f>
        <v>0</v>
      </c>
      <c r="M161" s="187">
        <f>'anexa 4 lei'!M162/'anexa 4 lei'!$K$4</f>
        <v>0</v>
      </c>
      <c r="N161" s="187">
        <f>'anexa 4 lei'!N161/'anexa 4 lei'!$K$4</f>
        <v>0</v>
      </c>
      <c r="O161" s="187">
        <f>'anexa 4 lei'!O161/'anexa 4 lei'!$K$4</f>
        <v>0</v>
      </c>
    </row>
    <row r="162" spans="1:15" ht="13.5" hidden="1" thickBot="1" x14ac:dyDescent="0.25">
      <c r="A162" s="247" t="s">
        <v>150</v>
      </c>
      <c r="B162" s="211"/>
      <c r="C162" s="165"/>
      <c r="D162" s="844" t="s">
        <v>425</v>
      </c>
      <c r="E162" s="844"/>
      <c r="F162" s="212">
        <f t="shared" si="2"/>
        <v>152</v>
      </c>
      <c r="G162" s="213">
        <v>956</v>
      </c>
      <c r="H162" s="213">
        <v>937</v>
      </c>
      <c r="I162" s="213">
        <v>943</v>
      </c>
      <c r="J162" s="213">
        <v>950</v>
      </c>
      <c r="K162" s="559">
        <v>956</v>
      </c>
      <c r="L162" s="551">
        <f>'anexa 4 lei'!L163/'anexa 4 lei'!$K$4</f>
        <v>0</v>
      </c>
      <c r="M162" s="187">
        <f>'anexa 4 lei'!M163/'anexa 4 lei'!$K$4</f>
        <v>0</v>
      </c>
      <c r="N162" s="187">
        <f>'anexa 4 lei'!N162/'anexa 4 lei'!$K$4</f>
        <v>0</v>
      </c>
      <c r="O162" s="187">
        <f>'anexa 4 lei'!O162/'anexa 4 lei'!$K$4</f>
        <v>0</v>
      </c>
    </row>
    <row r="164" spans="1:15" x14ac:dyDescent="0.2">
      <c r="E164" s="55" t="s">
        <v>373</v>
      </c>
      <c r="G164" s="55" t="s">
        <v>374</v>
      </c>
      <c r="I164" s="159"/>
      <c r="L164" s="160"/>
    </row>
    <row r="165" spans="1:15" x14ac:dyDescent="0.2">
      <c r="E165" s="55" t="s">
        <v>375</v>
      </c>
      <c r="G165" s="55" t="s">
        <v>376</v>
      </c>
      <c r="I165" s="159"/>
      <c r="L165" s="160"/>
    </row>
    <row r="166" spans="1:15" x14ac:dyDescent="0.2">
      <c r="E166" s="55"/>
      <c r="I166" s="159"/>
      <c r="L166" s="160"/>
    </row>
    <row r="167" spans="1:15" x14ac:dyDescent="0.2">
      <c r="E167" s="55"/>
      <c r="I167" s="159"/>
      <c r="L167" s="160"/>
    </row>
  </sheetData>
  <mergeCells count="117">
    <mergeCell ref="D155:E155"/>
    <mergeCell ref="D158:E158"/>
    <mergeCell ref="D159:E159"/>
    <mergeCell ref="D160:E160"/>
    <mergeCell ref="D162:E162"/>
    <mergeCell ref="D137:E137"/>
    <mergeCell ref="D146:E146"/>
    <mergeCell ref="B147:B153"/>
    <mergeCell ref="D147:E147"/>
    <mergeCell ref="D150:E150"/>
    <mergeCell ref="D153:E153"/>
    <mergeCell ref="C129:E129"/>
    <mergeCell ref="D130:E130"/>
    <mergeCell ref="D131:E131"/>
    <mergeCell ref="D132:E132"/>
    <mergeCell ref="D133:E133"/>
    <mergeCell ref="A134:A154"/>
    <mergeCell ref="B134:B137"/>
    <mergeCell ref="D134:E134"/>
    <mergeCell ref="D135:E135"/>
    <mergeCell ref="D136:E136"/>
    <mergeCell ref="A93:A133"/>
    <mergeCell ref="B93:B133"/>
    <mergeCell ref="D93:E93"/>
    <mergeCell ref="D94:E94"/>
    <mergeCell ref="C95:E95"/>
    <mergeCell ref="D96:E96"/>
    <mergeCell ref="D97:E97"/>
    <mergeCell ref="C98:C100"/>
    <mergeCell ref="D98:E98"/>
    <mergeCell ref="D99:E99"/>
    <mergeCell ref="D154:E154"/>
    <mergeCell ref="C123:C128"/>
    <mergeCell ref="D123:E123"/>
    <mergeCell ref="D124:E124"/>
    <mergeCell ref="D125:E125"/>
    <mergeCell ref="D126:E126"/>
    <mergeCell ref="D127:E127"/>
    <mergeCell ref="D128:E128"/>
    <mergeCell ref="C114:C120"/>
    <mergeCell ref="D114:E114"/>
    <mergeCell ref="D117:E117"/>
    <mergeCell ref="D120:E120"/>
    <mergeCell ref="D121:E121"/>
    <mergeCell ref="D122:E122"/>
    <mergeCell ref="D108:E108"/>
    <mergeCell ref="D109:E109"/>
    <mergeCell ref="D110:E110"/>
    <mergeCell ref="D111:E111"/>
    <mergeCell ref="D112:E112"/>
    <mergeCell ref="D113:E113"/>
    <mergeCell ref="D100:E100"/>
    <mergeCell ref="D101:E101"/>
    <mergeCell ref="D102:E102"/>
    <mergeCell ref="D105:E105"/>
    <mergeCell ref="D106:E106"/>
    <mergeCell ref="D107:E107"/>
    <mergeCell ref="D50:E50"/>
    <mergeCell ref="D51:E51"/>
    <mergeCell ref="D87:E87"/>
    <mergeCell ref="C88:E88"/>
    <mergeCell ref="D89:E89"/>
    <mergeCell ref="D90:E90"/>
    <mergeCell ref="D91:E91"/>
    <mergeCell ref="D92:E92"/>
    <mergeCell ref="D73:E73"/>
    <mergeCell ref="D74:E74"/>
    <mergeCell ref="D75:E75"/>
    <mergeCell ref="D76:E76"/>
    <mergeCell ref="D77:E77"/>
    <mergeCell ref="D78:E78"/>
    <mergeCell ref="A52:A92"/>
    <mergeCell ref="B52:B92"/>
    <mergeCell ref="D54:E54"/>
    <mergeCell ref="D55:E55"/>
    <mergeCell ref="D56:E56"/>
    <mergeCell ref="D37:E37"/>
    <mergeCell ref="B38:E38"/>
    <mergeCell ref="A39:A51"/>
    <mergeCell ref="C39:E39"/>
    <mergeCell ref="B40:B51"/>
    <mergeCell ref="C40:E40"/>
    <mergeCell ref="D41:E41"/>
    <mergeCell ref="D42:E42"/>
    <mergeCell ref="D43:E43"/>
    <mergeCell ref="D46:E46"/>
    <mergeCell ref="D57:E57"/>
    <mergeCell ref="D58:E58"/>
    <mergeCell ref="D59:E59"/>
    <mergeCell ref="D66:E66"/>
    <mergeCell ref="D71:E71"/>
    <mergeCell ref="D72:E72"/>
    <mergeCell ref="D47:E47"/>
    <mergeCell ref="D48:E48"/>
    <mergeCell ref="D49:E49"/>
    <mergeCell ref="A1:D1"/>
    <mergeCell ref="A2:D2"/>
    <mergeCell ref="A3:D3"/>
    <mergeCell ref="A8:B8"/>
    <mergeCell ref="B10:E10"/>
    <mergeCell ref="A11:A37"/>
    <mergeCell ref="C11:E11"/>
    <mergeCell ref="B12:B22"/>
    <mergeCell ref="D12:E12"/>
    <mergeCell ref="D17:E17"/>
    <mergeCell ref="B32:B36"/>
    <mergeCell ref="D32:E32"/>
    <mergeCell ref="D33:E33"/>
    <mergeCell ref="D34:E34"/>
    <mergeCell ref="D35:E35"/>
    <mergeCell ref="D36:E36"/>
    <mergeCell ref="D18:E18"/>
    <mergeCell ref="C19:C20"/>
    <mergeCell ref="D21:E21"/>
    <mergeCell ref="D22:E22"/>
    <mergeCell ref="D23:E23"/>
    <mergeCell ref="D31:E31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8"/>
  <sheetViews>
    <sheetView topLeftCell="E1" workbookViewId="0">
      <selection activeCell="G158" sqref="G158"/>
    </sheetView>
  </sheetViews>
  <sheetFormatPr defaultRowHeight="11.25" x14ac:dyDescent="0.2"/>
  <cols>
    <col min="1" max="1" width="5.42578125" style="51" customWidth="1"/>
    <col min="2" max="2" width="5.85546875" style="51" customWidth="1"/>
    <col min="3" max="3" width="6" style="51" customWidth="1"/>
    <col min="4" max="4" width="5.85546875" style="51" customWidth="1"/>
    <col min="5" max="5" width="43.5703125" style="51" customWidth="1"/>
    <col min="6" max="6" width="9.140625" style="51"/>
    <col min="7" max="7" width="12.140625" style="51" customWidth="1"/>
    <col min="8" max="8" width="13" style="51" customWidth="1"/>
    <col min="9" max="10" width="12.85546875" style="51" customWidth="1"/>
    <col min="11" max="11" width="11.140625" style="52" customWidth="1"/>
    <col min="12" max="14" width="13.140625" style="76" customWidth="1"/>
    <col min="15" max="15" width="10.5703125" style="76" customWidth="1"/>
    <col min="16" max="16" width="12" style="76" customWidth="1"/>
    <col min="17" max="16384" width="9.140625" style="51"/>
  </cols>
  <sheetData>
    <row r="1" spans="1:16" x14ac:dyDescent="0.2">
      <c r="A1" s="938" t="s">
        <v>0</v>
      </c>
      <c r="B1" s="938"/>
      <c r="C1" s="938"/>
      <c r="D1" s="938"/>
      <c r="E1" s="81"/>
    </row>
    <row r="2" spans="1:16" x14ac:dyDescent="0.2">
      <c r="A2" s="938" t="s">
        <v>1</v>
      </c>
      <c r="B2" s="938"/>
      <c r="C2" s="938"/>
      <c r="D2" s="938"/>
      <c r="E2" s="81"/>
      <c r="I2" s="53" t="s">
        <v>11</v>
      </c>
    </row>
    <row r="3" spans="1:16" x14ac:dyDescent="0.2">
      <c r="A3" s="938" t="s">
        <v>2</v>
      </c>
      <c r="B3" s="938"/>
      <c r="C3" s="938"/>
      <c r="D3" s="938"/>
      <c r="E3" s="81"/>
    </row>
    <row r="4" spans="1:16" x14ac:dyDescent="0.2">
      <c r="A4" s="81"/>
      <c r="B4" s="81"/>
      <c r="C4" s="81"/>
      <c r="E4" s="82" t="s">
        <v>3</v>
      </c>
      <c r="F4" s="83"/>
      <c r="G4" s="83"/>
      <c r="H4" s="83"/>
      <c r="I4" s="83"/>
      <c r="J4" s="83"/>
      <c r="K4" s="52">
        <v>1000</v>
      </c>
    </row>
    <row r="5" spans="1:16" x14ac:dyDescent="0.2">
      <c r="A5" s="81"/>
      <c r="B5" s="81"/>
      <c r="C5" s="81"/>
      <c r="D5" s="83"/>
      <c r="E5" s="83" t="s">
        <v>655</v>
      </c>
      <c r="F5" s="83"/>
      <c r="G5" s="83"/>
      <c r="H5" s="83"/>
      <c r="I5" s="83"/>
    </row>
    <row r="6" spans="1:16" x14ac:dyDescent="0.2">
      <c r="A6" s="127"/>
      <c r="B6" s="127"/>
      <c r="C6" s="127"/>
      <c r="D6" s="83"/>
      <c r="E6" s="83"/>
      <c r="F6" s="83"/>
      <c r="G6" s="83"/>
      <c r="H6" s="83"/>
      <c r="I6" s="83"/>
    </row>
    <row r="7" spans="1:16" ht="12" thickBot="1" x14ac:dyDescent="0.25">
      <c r="A7" s="81"/>
      <c r="B7" s="81"/>
      <c r="C7" s="81"/>
      <c r="D7" s="83"/>
      <c r="E7" s="81"/>
      <c r="F7" s="83"/>
      <c r="G7" s="83"/>
      <c r="H7" s="83"/>
      <c r="I7" s="83"/>
    </row>
    <row r="8" spans="1:16" ht="45.75" thickBot="1" x14ac:dyDescent="0.25">
      <c r="A8" s="980" t="s">
        <v>308</v>
      </c>
      <c r="B8" s="981"/>
      <c r="C8" s="84"/>
      <c r="D8" s="84"/>
      <c r="E8" s="116" t="s">
        <v>15</v>
      </c>
      <c r="F8" s="84" t="s">
        <v>309</v>
      </c>
      <c r="G8" s="86" t="s">
        <v>693</v>
      </c>
      <c r="H8" s="84" t="s">
        <v>310</v>
      </c>
      <c r="I8" s="84" t="s">
        <v>311</v>
      </c>
      <c r="J8" s="84" t="s">
        <v>312</v>
      </c>
      <c r="K8" s="389" t="s">
        <v>313</v>
      </c>
      <c r="L8" s="379" t="s">
        <v>658</v>
      </c>
      <c r="M8" s="546" t="s">
        <v>681</v>
      </c>
      <c r="N8" s="689" t="s">
        <v>692</v>
      </c>
      <c r="O8" s="740" t="s">
        <v>694</v>
      </c>
      <c r="P8" s="390"/>
    </row>
    <row r="9" spans="1:16" ht="12" thickBot="1" x14ac:dyDescent="0.25">
      <c r="A9" s="84" t="s">
        <v>30</v>
      </c>
      <c r="B9" s="84"/>
      <c r="C9" s="84"/>
      <c r="D9" s="84"/>
      <c r="E9" s="85" t="s">
        <v>4</v>
      </c>
      <c r="F9" s="84" t="s">
        <v>314</v>
      </c>
      <c r="G9" s="84" t="s">
        <v>21</v>
      </c>
      <c r="H9" s="84" t="s">
        <v>17</v>
      </c>
      <c r="I9" s="84" t="s">
        <v>18</v>
      </c>
      <c r="J9" s="84" t="s">
        <v>24</v>
      </c>
      <c r="K9" s="389" t="s">
        <v>19</v>
      </c>
      <c r="L9" s="397">
        <v>7</v>
      </c>
      <c r="M9" s="398">
        <v>8</v>
      </c>
      <c r="N9" s="688" t="s">
        <v>21</v>
      </c>
      <c r="O9" s="122"/>
    </row>
    <row r="10" spans="1:16" ht="12" thickBot="1" x14ac:dyDescent="0.25">
      <c r="A10" s="87" t="s">
        <v>215</v>
      </c>
      <c r="B10" s="968" t="s">
        <v>462</v>
      </c>
      <c r="C10" s="1011"/>
      <c r="D10" s="1011"/>
      <c r="E10" s="969"/>
      <c r="F10" s="87" t="s">
        <v>4</v>
      </c>
      <c r="G10" s="88">
        <f>a.4.Centralizat!H10</f>
        <v>138839553.764</v>
      </c>
      <c r="H10" s="88">
        <f>a.4.Centralizat!I10</f>
        <v>32662687.360999998</v>
      </c>
      <c r="I10" s="88">
        <f>a.4.Centralizat!J10</f>
        <v>35347244.901000001</v>
      </c>
      <c r="J10" s="88">
        <f>a.4.Centralizat!K10</f>
        <v>35642488.180999994</v>
      </c>
      <c r="K10" s="88">
        <f>a.4.Centralizat!L10</f>
        <v>35187133.320999995</v>
      </c>
      <c r="L10" s="396">
        <f>a.4.Centralizat!O10</f>
        <v>142405579</v>
      </c>
      <c r="M10" s="396">
        <v>141302168.82333335</v>
      </c>
      <c r="N10" s="353">
        <v>138839553.764</v>
      </c>
      <c r="O10" s="741">
        <f>G10-N10</f>
        <v>0</v>
      </c>
      <c r="P10" s="78"/>
    </row>
    <row r="11" spans="1:16" ht="19.5" customHeight="1" thickBot="1" x14ac:dyDescent="0.25">
      <c r="A11" s="977"/>
      <c r="B11" s="84" t="s">
        <v>4</v>
      </c>
      <c r="C11" s="980" t="s">
        <v>113</v>
      </c>
      <c r="D11" s="1014"/>
      <c r="E11" s="981"/>
      <c r="F11" s="84">
        <f>F10+1</f>
        <v>2</v>
      </c>
      <c r="G11" s="89">
        <f>a.4.Centralizat!H11</f>
        <v>137889496.09</v>
      </c>
      <c r="H11" s="89">
        <f>a.4.Centralizat!I11</f>
        <v>32362674.555</v>
      </c>
      <c r="I11" s="89">
        <f>a.4.Centralizat!J11</f>
        <v>35097230.835000001</v>
      </c>
      <c r="J11" s="89">
        <f>a.4.Centralizat!K11</f>
        <v>35442472.554999992</v>
      </c>
      <c r="K11" s="89">
        <f>a.4.Centralizat!L11</f>
        <v>34987118.144999996</v>
      </c>
      <c r="L11" s="89">
        <f>a.4.Centralizat!O11</f>
        <v>140617534</v>
      </c>
      <c r="M11" s="89">
        <v>139716984.51333335</v>
      </c>
      <c r="N11" s="113">
        <v>137889496.09</v>
      </c>
      <c r="O11" s="741">
        <f t="shared" ref="O11:O74" si="0">G11-N11</f>
        <v>0</v>
      </c>
      <c r="P11" s="78"/>
    </row>
    <row r="12" spans="1:16" ht="12" thickBot="1" x14ac:dyDescent="0.25">
      <c r="A12" s="978"/>
      <c r="B12" s="977"/>
      <c r="C12" s="84" t="s">
        <v>27</v>
      </c>
      <c r="D12" s="982" t="s">
        <v>315</v>
      </c>
      <c r="E12" s="983"/>
      <c r="F12" s="84">
        <f t="shared" ref="F12:F75" si="1">F11+1</f>
        <v>3</v>
      </c>
      <c r="G12" s="89">
        <f>a.4.Centralizat!H12</f>
        <v>134459088.558</v>
      </c>
      <c r="H12" s="89">
        <f>a.4.Centralizat!I12</f>
        <v>31857808.556999996</v>
      </c>
      <c r="I12" s="89">
        <f>a.4.Centralizat!J12</f>
        <v>34202287.296999998</v>
      </c>
      <c r="J12" s="89">
        <f>a.4.Centralizat!K12</f>
        <v>34519212.156999998</v>
      </c>
      <c r="K12" s="89">
        <f>a.4.Centralizat!L12</f>
        <v>33879780.546999998</v>
      </c>
      <c r="L12" s="89">
        <f>a.4.Centralizat!O12</f>
        <v>135360508</v>
      </c>
      <c r="M12" s="89">
        <v>135314415</v>
      </c>
      <c r="N12" s="113">
        <v>134459088.558</v>
      </c>
      <c r="O12" s="741">
        <f t="shared" si="0"/>
        <v>0</v>
      </c>
      <c r="P12" s="78"/>
    </row>
    <row r="13" spans="1:16" ht="12" thickBot="1" x14ac:dyDescent="0.25">
      <c r="A13" s="978"/>
      <c r="B13" s="978"/>
      <c r="C13" s="84"/>
      <c r="D13" s="84" t="s">
        <v>237</v>
      </c>
      <c r="E13" s="85" t="s">
        <v>316</v>
      </c>
      <c r="F13" s="84">
        <f t="shared" si="1"/>
        <v>4</v>
      </c>
      <c r="G13" s="89">
        <f>a.4.Centralizat!H13</f>
        <v>0</v>
      </c>
      <c r="H13" s="89">
        <f>a.4.Centralizat!I13</f>
        <v>0</v>
      </c>
      <c r="I13" s="89">
        <f>a.4.Centralizat!J13</f>
        <v>0</v>
      </c>
      <c r="J13" s="89">
        <f>a.4.Centralizat!K13</f>
        <v>0</v>
      </c>
      <c r="K13" s="89">
        <f>a.4.Centralizat!L13</f>
        <v>0</v>
      </c>
      <c r="L13" s="89">
        <f>a.4.Centralizat!O13</f>
        <v>0</v>
      </c>
      <c r="M13" s="89">
        <v>0</v>
      </c>
      <c r="N13" s="113">
        <v>0</v>
      </c>
      <c r="O13" s="741">
        <f t="shared" si="0"/>
        <v>0</v>
      </c>
      <c r="P13" s="78"/>
    </row>
    <row r="14" spans="1:16" ht="12" thickBot="1" x14ac:dyDescent="0.25">
      <c r="A14" s="978"/>
      <c r="B14" s="978"/>
      <c r="C14" s="84"/>
      <c r="D14" s="84" t="s">
        <v>66</v>
      </c>
      <c r="E14" s="85" t="s">
        <v>317</v>
      </c>
      <c r="F14" s="84">
        <f t="shared" si="1"/>
        <v>5</v>
      </c>
      <c r="G14" s="89">
        <f>a.4.Centralizat!H14</f>
        <v>134155599.148</v>
      </c>
      <c r="H14" s="89">
        <f>a.4.Centralizat!I14</f>
        <v>31794722.261999998</v>
      </c>
      <c r="I14" s="89">
        <f>a.4.Centralizat!J14</f>
        <v>34119184.692000002</v>
      </c>
      <c r="J14" s="89">
        <f>a.4.Centralizat!K14</f>
        <v>34435523.082000002</v>
      </c>
      <c r="K14" s="89">
        <f>a.4.Centralizat!L14</f>
        <v>33806169.112000003</v>
      </c>
      <c r="L14" s="89">
        <f>a.4.Centralizat!O14</f>
        <v>134955967</v>
      </c>
      <c r="M14" s="89">
        <v>135015554</v>
      </c>
      <c r="N14" s="113">
        <v>134155599.148</v>
      </c>
      <c r="O14" s="741">
        <f t="shared" si="0"/>
        <v>0</v>
      </c>
      <c r="P14" s="78"/>
    </row>
    <row r="15" spans="1:16" ht="12" thickBot="1" x14ac:dyDescent="0.25">
      <c r="A15" s="978"/>
      <c r="B15" s="978"/>
      <c r="C15" s="84"/>
      <c r="D15" s="84" t="s">
        <v>318</v>
      </c>
      <c r="E15" s="85" t="s">
        <v>319</v>
      </c>
      <c r="F15" s="84">
        <f t="shared" si="1"/>
        <v>6</v>
      </c>
      <c r="G15" s="89">
        <f>a.4.Centralizat!H18</f>
        <v>75980.932000000001</v>
      </c>
      <c r="H15" s="89">
        <f>a.4.Centralizat!I18</f>
        <v>19014.983</v>
      </c>
      <c r="I15" s="89">
        <f>a.4.Centralizat!J18</f>
        <v>18984.983</v>
      </c>
      <c r="J15" s="89">
        <f>a.4.Centralizat!K18</f>
        <v>18985.983</v>
      </c>
      <c r="K15" s="89">
        <f>a.4.Centralizat!L18</f>
        <v>18994.983</v>
      </c>
      <c r="L15" s="89">
        <f>a.4.Centralizat!O18</f>
        <v>83703</v>
      </c>
      <c r="M15" s="89">
        <v>82014</v>
      </c>
      <c r="N15" s="113">
        <v>75980.932000000001</v>
      </c>
      <c r="O15" s="741">
        <f t="shared" si="0"/>
        <v>0</v>
      </c>
      <c r="P15" s="78"/>
    </row>
    <row r="16" spans="1:16" ht="12" thickBot="1" x14ac:dyDescent="0.25">
      <c r="A16" s="978"/>
      <c r="B16" s="978"/>
      <c r="C16" s="84"/>
      <c r="D16" s="84" t="s">
        <v>320</v>
      </c>
      <c r="E16" s="85" t="s">
        <v>321</v>
      </c>
      <c r="F16" s="84">
        <f t="shared" si="1"/>
        <v>7</v>
      </c>
      <c r="G16" s="89">
        <f>a.4.Centralizat!H19</f>
        <v>227508.478</v>
      </c>
      <c r="H16" s="89">
        <f>a.4.Centralizat!I19</f>
        <v>44071.311999999998</v>
      </c>
      <c r="I16" s="89">
        <f>a.4.Centralizat!J19</f>
        <v>64117.621999999996</v>
      </c>
      <c r="J16" s="89">
        <f>a.4.Centralizat!K19</f>
        <v>64703.091999999997</v>
      </c>
      <c r="K16" s="89">
        <f>a.4.Centralizat!L19</f>
        <v>54616.451999999997</v>
      </c>
      <c r="L16" s="89">
        <f>a.4.Centralizat!O19</f>
        <v>320838</v>
      </c>
      <c r="M16" s="89">
        <v>216847</v>
      </c>
      <c r="N16" s="113">
        <v>227508.478</v>
      </c>
      <c r="O16" s="741">
        <f t="shared" si="0"/>
        <v>0</v>
      </c>
      <c r="P16" s="78"/>
    </row>
    <row r="17" spans="1:16" ht="12" thickBot="1" x14ac:dyDescent="0.25">
      <c r="A17" s="978"/>
      <c r="B17" s="978"/>
      <c r="C17" s="84" t="s">
        <v>38</v>
      </c>
      <c r="D17" s="984" t="s">
        <v>322</v>
      </c>
      <c r="E17" s="985"/>
      <c r="F17" s="84">
        <f t="shared" si="1"/>
        <v>8</v>
      </c>
      <c r="G17" s="89">
        <f>a.4.Centralizat!H20</f>
        <v>0</v>
      </c>
      <c r="H17" s="89">
        <f>a.4.Centralizat!I20</f>
        <v>0</v>
      </c>
      <c r="I17" s="89">
        <f>a.4.Centralizat!J20</f>
        <v>0</v>
      </c>
      <c r="J17" s="89">
        <f>a.4.Centralizat!K20</f>
        <v>0</v>
      </c>
      <c r="K17" s="89">
        <f>a.4.Centralizat!L20</f>
        <v>0</v>
      </c>
      <c r="L17" s="89">
        <f>a.4.Centralizat!O20</f>
        <v>0</v>
      </c>
      <c r="M17" s="89"/>
      <c r="N17" s="113">
        <v>0</v>
      </c>
      <c r="O17" s="741">
        <f t="shared" si="0"/>
        <v>0</v>
      </c>
      <c r="P17" s="78"/>
    </row>
    <row r="18" spans="1:16" ht="21.75" customHeight="1" thickBot="1" x14ac:dyDescent="0.25">
      <c r="A18" s="978"/>
      <c r="B18" s="978"/>
      <c r="C18" s="84" t="s">
        <v>40</v>
      </c>
      <c r="D18" s="982" t="s">
        <v>323</v>
      </c>
      <c r="E18" s="983"/>
      <c r="F18" s="84">
        <f t="shared" si="1"/>
        <v>9</v>
      </c>
      <c r="G18" s="89">
        <f>a.4.Centralizat!H21</f>
        <v>0</v>
      </c>
      <c r="H18" s="89">
        <f>a.4.Centralizat!I21</f>
        <v>0</v>
      </c>
      <c r="I18" s="89">
        <f>a.4.Centralizat!J21</f>
        <v>0</v>
      </c>
      <c r="J18" s="89">
        <f>a.4.Centralizat!K21</f>
        <v>0</v>
      </c>
      <c r="K18" s="89">
        <f>a.4.Centralizat!L21</f>
        <v>0</v>
      </c>
      <c r="L18" s="89">
        <f>a.4.Centralizat!O21</f>
        <v>0</v>
      </c>
      <c r="M18" s="89">
        <v>0</v>
      </c>
      <c r="N18" s="113">
        <v>0</v>
      </c>
      <c r="O18" s="741">
        <f t="shared" si="0"/>
        <v>0</v>
      </c>
      <c r="P18" s="78"/>
    </row>
    <row r="19" spans="1:16" ht="12" thickBot="1" x14ac:dyDescent="0.25">
      <c r="A19" s="978"/>
      <c r="B19" s="978"/>
      <c r="C19" s="977"/>
      <c r="D19" s="84" t="s">
        <v>324</v>
      </c>
      <c r="E19" s="85" t="s">
        <v>325</v>
      </c>
      <c r="F19" s="84">
        <f t="shared" si="1"/>
        <v>10</v>
      </c>
      <c r="G19" s="89">
        <f>a.4.Centralizat!H22</f>
        <v>0</v>
      </c>
      <c r="H19" s="89">
        <f>a.4.Centralizat!I22</f>
        <v>0</v>
      </c>
      <c r="I19" s="89">
        <f>a.4.Centralizat!J22</f>
        <v>0</v>
      </c>
      <c r="J19" s="89">
        <f>a.4.Centralizat!K22</f>
        <v>0</v>
      </c>
      <c r="K19" s="89">
        <f>a.4.Centralizat!L22</f>
        <v>0</v>
      </c>
      <c r="L19" s="89">
        <f>a.4.Centralizat!O22</f>
        <v>0</v>
      </c>
      <c r="M19" s="89">
        <v>0</v>
      </c>
      <c r="N19" s="113">
        <v>0</v>
      </c>
      <c r="O19" s="741">
        <f t="shared" si="0"/>
        <v>0</v>
      </c>
      <c r="P19" s="78"/>
    </row>
    <row r="20" spans="1:16" ht="12" thickBot="1" x14ac:dyDescent="0.25">
      <c r="A20" s="978"/>
      <c r="B20" s="978"/>
      <c r="C20" s="979"/>
      <c r="D20" s="84" t="s">
        <v>67</v>
      </c>
      <c r="E20" s="85" t="s">
        <v>32</v>
      </c>
      <c r="F20" s="84">
        <f t="shared" si="1"/>
        <v>11</v>
      </c>
      <c r="G20" s="92">
        <f>a.4.Centralizat!H23</f>
        <v>0</v>
      </c>
      <c r="H20" s="92">
        <f>a.4.Centralizat!I23</f>
        <v>0</v>
      </c>
      <c r="I20" s="92">
        <f>a.4.Centralizat!J23</f>
        <v>0</v>
      </c>
      <c r="J20" s="92">
        <f>a.4.Centralizat!K23</f>
        <v>0</v>
      </c>
      <c r="K20" s="92">
        <f>a.4.Centralizat!L23</f>
        <v>0</v>
      </c>
      <c r="L20" s="92">
        <f>a.4.Centralizat!O23</f>
        <v>0</v>
      </c>
      <c r="M20" s="92">
        <v>0</v>
      </c>
      <c r="N20" s="357">
        <v>0</v>
      </c>
      <c r="O20" s="741">
        <f t="shared" si="0"/>
        <v>0</v>
      </c>
      <c r="P20" s="78"/>
    </row>
    <row r="21" spans="1:16" ht="12" thickBot="1" x14ac:dyDescent="0.25">
      <c r="A21" s="978"/>
      <c r="B21" s="978"/>
      <c r="C21" s="84" t="s">
        <v>42</v>
      </c>
      <c r="D21" s="984" t="s">
        <v>326</v>
      </c>
      <c r="E21" s="985"/>
      <c r="F21" s="84">
        <f t="shared" si="1"/>
        <v>12</v>
      </c>
      <c r="G21" s="93">
        <f>a.4.Centralizat!H24</f>
        <v>2103800</v>
      </c>
      <c r="H21" s="93">
        <f>a.4.Centralizat!I24</f>
        <v>183400</v>
      </c>
      <c r="I21" s="93">
        <f>a.4.Centralizat!J24</f>
        <v>554400</v>
      </c>
      <c r="J21" s="93">
        <f>a.4.Centralizat!K24</f>
        <v>581500</v>
      </c>
      <c r="K21" s="93">
        <f>a.4.Centralizat!L24</f>
        <v>784500</v>
      </c>
      <c r="L21" s="93">
        <f>a.4.Centralizat!O24</f>
        <v>2116374</v>
      </c>
      <c r="M21" s="93">
        <v>1765833.3333333335</v>
      </c>
      <c r="N21" s="358">
        <v>2103800</v>
      </c>
      <c r="O21" s="741">
        <f t="shared" si="0"/>
        <v>0</v>
      </c>
      <c r="P21" s="78"/>
    </row>
    <row r="22" spans="1:16" ht="12" thickBot="1" x14ac:dyDescent="0.25">
      <c r="A22" s="978"/>
      <c r="B22" s="979"/>
      <c r="C22" s="84" t="s">
        <v>28</v>
      </c>
      <c r="D22" s="982" t="s">
        <v>327</v>
      </c>
      <c r="E22" s="983"/>
      <c r="F22" s="84">
        <f t="shared" si="1"/>
        <v>13</v>
      </c>
      <c r="G22" s="93">
        <f>a.4.Centralizat!H25</f>
        <v>0</v>
      </c>
      <c r="H22" s="93">
        <f>a.4.Centralizat!I25</f>
        <v>0</v>
      </c>
      <c r="I22" s="93">
        <f>a.4.Centralizat!J25</f>
        <v>0</v>
      </c>
      <c r="J22" s="93">
        <f>a.4.Centralizat!K25</f>
        <v>0</v>
      </c>
      <c r="K22" s="93">
        <f>a.4.Centralizat!L25</f>
        <v>0</v>
      </c>
      <c r="L22" s="93">
        <f>a.4.Centralizat!O25</f>
        <v>0</v>
      </c>
      <c r="M22" s="93"/>
      <c r="N22" s="358">
        <v>0</v>
      </c>
      <c r="O22" s="741">
        <f t="shared" si="0"/>
        <v>0</v>
      </c>
      <c r="P22" s="78"/>
    </row>
    <row r="23" spans="1:16" ht="12" thickBot="1" x14ac:dyDescent="0.25">
      <c r="A23" s="978"/>
      <c r="B23" s="84"/>
      <c r="C23" s="84" t="s">
        <v>34</v>
      </c>
      <c r="D23" s="982" t="s">
        <v>328</v>
      </c>
      <c r="E23" s="983"/>
      <c r="F23" s="84">
        <f t="shared" si="1"/>
        <v>14</v>
      </c>
      <c r="G23" s="93">
        <f>a.4.Centralizat!H26</f>
        <v>1326607.5319999999</v>
      </c>
      <c r="H23" s="93">
        <f>a.4.Centralizat!I26</f>
        <v>321465.99800000002</v>
      </c>
      <c r="I23" s="93">
        <f>a.4.Centralizat!J26</f>
        <v>340543.538</v>
      </c>
      <c r="J23" s="93">
        <f>a.4.Centralizat!K26</f>
        <v>341760.39799999999</v>
      </c>
      <c r="K23" s="93">
        <f>a.4.Centralizat!L26</f>
        <v>322837.598</v>
      </c>
      <c r="L23" s="93">
        <f>a.4.Centralizat!O26</f>
        <v>3140652</v>
      </c>
      <c r="M23" s="93">
        <v>2636736.1799999997</v>
      </c>
      <c r="N23" s="358">
        <v>1326607.5319999999</v>
      </c>
      <c r="O23" s="741">
        <f t="shared" si="0"/>
        <v>0</v>
      </c>
      <c r="P23" s="78"/>
    </row>
    <row r="24" spans="1:16" ht="12" thickBot="1" x14ac:dyDescent="0.25">
      <c r="A24" s="978"/>
      <c r="B24" s="84"/>
      <c r="C24" s="84"/>
      <c r="D24" s="84" t="s">
        <v>329</v>
      </c>
      <c r="E24" s="85" t="s">
        <v>330</v>
      </c>
      <c r="F24" s="84">
        <f t="shared" si="1"/>
        <v>15</v>
      </c>
      <c r="G24" s="93">
        <f>a.4.Centralizat!H27</f>
        <v>519274.12400000001</v>
      </c>
      <c r="H24" s="93">
        <f>a.4.Centralizat!I27</f>
        <v>119685.14599999999</v>
      </c>
      <c r="I24" s="93">
        <f>a.4.Centralizat!J27</f>
        <v>138712.68599999999</v>
      </c>
      <c r="J24" s="93">
        <f>a.4.Centralizat!K27</f>
        <v>139879.54599999997</v>
      </c>
      <c r="K24" s="93">
        <f>a.4.Centralizat!L27</f>
        <v>120996.746</v>
      </c>
      <c r="L24" s="93">
        <f>a.4.Centralizat!O27</f>
        <v>1957823</v>
      </c>
      <c r="M24" s="93">
        <v>530136.17999999993</v>
      </c>
      <c r="N24" s="358">
        <v>519274.12400000001</v>
      </c>
      <c r="O24" s="741">
        <f t="shared" si="0"/>
        <v>0</v>
      </c>
      <c r="P24" s="78"/>
    </row>
    <row r="25" spans="1:16" ht="40.5" customHeight="1" thickBot="1" x14ac:dyDescent="0.25">
      <c r="A25" s="978"/>
      <c r="B25" s="84"/>
      <c r="C25" s="84"/>
      <c r="D25" s="84" t="s">
        <v>52</v>
      </c>
      <c r="E25" s="71" t="s">
        <v>331</v>
      </c>
      <c r="F25" s="84">
        <f t="shared" si="1"/>
        <v>16</v>
      </c>
      <c r="G25" s="93">
        <f>a.4.Centralizat!H28</f>
        <v>0</v>
      </c>
      <c r="H25" s="93">
        <f>a.4.Centralizat!I28</f>
        <v>0</v>
      </c>
      <c r="I25" s="93">
        <f>a.4.Centralizat!J28</f>
        <v>0</v>
      </c>
      <c r="J25" s="93">
        <f>a.4.Centralizat!K28</f>
        <v>0</v>
      </c>
      <c r="K25" s="93">
        <f>a.4.Centralizat!L28</f>
        <v>0</v>
      </c>
      <c r="L25" s="93">
        <f>a.4.Centralizat!O28</f>
        <v>0</v>
      </c>
      <c r="M25" s="93">
        <v>0</v>
      </c>
      <c r="N25" s="358">
        <v>0</v>
      </c>
      <c r="O25" s="741">
        <f t="shared" si="0"/>
        <v>0</v>
      </c>
      <c r="P25" s="78"/>
    </row>
    <row r="26" spans="1:16" ht="12" thickBot="1" x14ac:dyDescent="0.25">
      <c r="A26" s="978"/>
      <c r="B26" s="84"/>
      <c r="C26" s="84"/>
      <c r="D26" s="84"/>
      <c r="E26" s="85" t="s">
        <v>332</v>
      </c>
      <c r="F26" s="84">
        <f t="shared" si="1"/>
        <v>17</v>
      </c>
      <c r="G26" s="94">
        <f>a.4.Centralizat!H29</f>
        <v>0</v>
      </c>
      <c r="H26" s="94">
        <f>a.4.Centralizat!I29</f>
        <v>0</v>
      </c>
      <c r="I26" s="94">
        <f>a.4.Centralizat!J29</f>
        <v>0</v>
      </c>
      <c r="J26" s="94">
        <f>a.4.Centralizat!K29</f>
        <v>0</v>
      </c>
      <c r="K26" s="94">
        <f>a.4.Centralizat!L29</f>
        <v>0</v>
      </c>
      <c r="L26" s="94">
        <f>a.4.Centralizat!O29</f>
        <v>0</v>
      </c>
      <c r="M26" s="94">
        <v>0</v>
      </c>
      <c r="N26" s="359">
        <v>0</v>
      </c>
      <c r="O26" s="741">
        <f t="shared" si="0"/>
        <v>0</v>
      </c>
      <c r="P26" s="78"/>
    </row>
    <row r="27" spans="1:16" ht="12" thickBot="1" x14ac:dyDescent="0.25">
      <c r="A27" s="978"/>
      <c r="B27" s="84"/>
      <c r="C27" s="84"/>
      <c r="D27" s="84"/>
      <c r="E27" s="85" t="s">
        <v>333</v>
      </c>
      <c r="F27" s="84">
        <f t="shared" si="1"/>
        <v>18</v>
      </c>
      <c r="G27" s="94">
        <f>a.4.Centralizat!H30</f>
        <v>0</v>
      </c>
      <c r="H27" s="94">
        <f>a.4.Centralizat!I30</f>
        <v>0</v>
      </c>
      <c r="I27" s="94">
        <f>a.4.Centralizat!J30</f>
        <v>0</v>
      </c>
      <c r="J27" s="94">
        <f>a.4.Centralizat!K30</f>
        <v>0</v>
      </c>
      <c r="K27" s="94">
        <f>a.4.Centralizat!L30</f>
        <v>0</v>
      </c>
      <c r="L27" s="94">
        <f>a.4.Centralizat!O30</f>
        <v>0</v>
      </c>
      <c r="M27" s="94">
        <v>0</v>
      </c>
      <c r="N27" s="359">
        <v>0</v>
      </c>
      <c r="O27" s="741">
        <f t="shared" si="0"/>
        <v>0</v>
      </c>
      <c r="P27" s="78"/>
    </row>
    <row r="28" spans="1:16" ht="12" thickBot="1" x14ac:dyDescent="0.25">
      <c r="A28" s="978"/>
      <c r="B28" s="95"/>
      <c r="C28" s="95"/>
      <c r="D28" s="95" t="s">
        <v>53</v>
      </c>
      <c r="E28" s="96" t="s">
        <v>334</v>
      </c>
      <c r="F28" s="84">
        <f t="shared" si="1"/>
        <v>19</v>
      </c>
      <c r="G28" s="94">
        <f>a.4.Centralizat!H31</f>
        <v>0</v>
      </c>
      <c r="H28" s="94">
        <f>a.4.Centralizat!I31</f>
        <v>0</v>
      </c>
      <c r="I28" s="94">
        <f>a.4.Centralizat!J31</f>
        <v>0</v>
      </c>
      <c r="J28" s="94">
        <f>a.4.Centralizat!K31</f>
        <v>0</v>
      </c>
      <c r="K28" s="94">
        <f>a.4.Centralizat!L31</f>
        <v>0</v>
      </c>
      <c r="L28" s="94">
        <f>a.4.Centralizat!O31</f>
        <v>0</v>
      </c>
      <c r="M28" s="94">
        <v>0</v>
      </c>
      <c r="N28" s="359">
        <v>0</v>
      </c>
      <c r="O28" s="741">
        <f t="shared" si="0"/>
        <v>0</v>
      </c>
      <c r="P28" s="78"/>
    </row>
    <row r="29" spans="1:16" ht="12" thickBot="1" x14ac:dyDescent="0.25">
      <c r="A29" s="978"/>
      <c r="B29" s="95"/>
      <c r="C29" s="95"/>
      <c r="D29" s="95" t="s">
        <v>54</v>
      </c>
      <c r="E29" s="96" t="s">
        <v>335</v>
      </c>
      <c r="F29" s="84">
        <f t="shared" si="1"/>
        <v>20</v>
      </c>
      <c r="G29" s="94">
        <f>a.4.Centralizat!H32</f>
        <v>0</v>
      </c>
      <c r="H29" s="94">
        <f>a.4.Centralizat!I32</f>
        <v>0</v>
      </c>
      <c r="I29" s="94">
        <f>a.4.Centralizat!J32</f>
        <v>0</v>
      </c>
      <c r="J29" s="94">
        <f>a.4.Centralizat!K32</f>
        <v>0</v>
      </c>
      <c r="K29" s="94">
        <f>a.4.Centralizat!L32</f>
        <v>0</v>
      </c>
      <c r="L29" s="94">
        <f>a.4.Centralizat!O32</f>
        <v>0</v>
      </c>
      <c r="M29" s="94">
        <v>0</v>
      </c>
      <c r="N29" s="359">
        <v>0</v>
      </c>
      <c r="O29" s="741">
        <f t="shared" si="0"/>
        <v>0</v>
      </c>
      <c r="P29" s="78"/>
    </row>
    <row r="30" spans="1:16" ht="12" thickBot="1" x14ac:dyDescent="0.25">
      <c r="A30" s="978"/>
      <c r="B30" s="95"/>
      <c r="C30" s="95"/>
      <c r="D30" s="95" t="s">
        <v>55</v>
      </c>
      <c r="E30" s="96" t="s">
        <v>321</v>
      </c>
      <c r="F30" s="84">
        <f t="shared" si="1"/>
        <v>21</v>
      </c>
      <c r="G30" s="94">
        <f>a.4.Centralizat!H33</f>
        <v>807333.40800000005</v>
      </c>
      <c r="H30" s="94">
        <f>a.4.Centralizat!I33</f>
        <v>201780.85200000001</v>
      </c>
      <c r="I30" s="94">
        <f>a.4.Centralizat!J33</f>
        <v>201830.85200000001</v>
      </c>
      <c r="J30" s="94">
        <f>a.4.Centralizat!K33</f>
        <v>201880.85200000001</v>
      </c>
      <c r="K30" s="94">
        <f>a.4.Centralizat!L33</f>
        <v>201840.85200000001</v>
      </c>
      <c r="L30" s="94">
        <f>a.4.Centralizat!O33</f>
        <v>1182829</v>
      </c>
      <c r="M30" s="94">
        <v>2106600</v>
      </c>
      <c r="N30" s="359">
        <v>807333.40800000005</v>
      </c>
      <c r="O30" s="741">
        <f t="shared" si="0"/>
        <v>0</v>
      </c>
      <c r="P30" s="78"/>
    </row>
    <row r="31" spans="1:16" ht="12" thickBot="1" x14ac:dyDescent="0.25">
      <c r="A31" s="978"/>
      <c r="B31" s="84" t="s">
        <v>21</v>
      </c>
      <c r="C31" s="84"/>
      <c r="D31" s="982" t="s">
        <v>336</v>
      </c>
      <c r="E31" s="983"/>
      <c r="F31" s="84">
        <f t="shared" si="1"/>
        <v>22</v>
      </c>
      <c r="G31" s="93">
        <f>a.4.Centralizat!H34</f>
        <v>950057.674</v>
      </c>
      <c r="H31" s="93">
        <f>a.4.Centralizat!I34</f>
        <v>300012.80599999998</v>
      </c>
      <c r="I31" s="93">
        <f>a.4.Centralizat!J34</f>
        <v>250014.06600000002</v>
      </c>
      <c r="J31" s="93">
        <f>a.4.Centralizat!K34</f>
        <v>200015.62600000002</v>
      </c>
      <c r="K31" s="93">
        <f>a.4.Centralizat!L34</f>
        <v>200015.17600000001</v>
      </c>
      <c r="L31" s="93">
        <f>a.4.Centralizat!O34</f>
        <v>1788045</v>
      </c>
      <c r="M31" s="93">
        <v>1585184.31</v>
      </c>
      <c r="N31" s="358">
        <v>950057.674</v>
      </c>
      <c r="O31" s="741">
        <f t="shared" si="0"/>
        <v>0</v>
      </c>
      <c r="P31" s="78"/>
    </row>
    <row r="32" spans="1:16" ht="12" thickBot="1" x14ac:dyDescent="0.25">
      <c r="A32" s="978"/>
      <c r="B32" s="977"/>
      <c r="C32" s="84" t="s">
        <v>27</v>
      </c>
      <c r="D32" s="984" t="s">
        <v>337</v>
      </c>
      <c r="E32" s="985"/>
      <c r="F32" s="84">
        <f t="shared" si="1"/>
        <v>23</v>
      </c>
      <c r="G32" s="93">
        <f>a.4.Centralizat!H35</f>
        <v>0</v>
      </c>
      <c r="H32" s="93">
        <f>a.4.Centralizat!I35</f>
        <v>0</v>
      </c>
      <c r="I32" s="93">
        <f>a.4.Centralizat!J35</f>
        <v>0</v>
      </c>
      <c r="J32" s="93">
        <f>a.4.Centralizat!K35</f>
        <v>0</v>
      </c>
      <c r="K32" s="93">
        <f>a.4.Centralizat!L35</f>
        <v>0</v>
      </c>
      <c r="L32" s="93">
        <f>a.4.Centralizat!O35</f>
        <v>0</v>
      </c>
      <c r="M32" s="93">
        <v>0</v>
      </c>
      <c r="N32" s="358">
        <v>0</v>
      </c>
      <c r="O32" s="741">
        <f t="shared" si="0"/>
        <v>0</v>
      </c>
      <c r="P32" s="78"/>
    </row>
    <row r="33" spans="1:16" ht="12" thickBot="1" x14ac:dyDescent="0.25">
      <c r="A33" s="978"/>
      <c r="B33" s="978"/>
      <c r="C33" s="84" t="s">
        <v>38</v>
      </c>
      <c r="D33" s="984" t="s">
        <v>338</v>
      </c>
      <c r="E33" s="985"/>
      <c r="F33" s="84">
        <f t="shared" si="1"/>
        <v>24</v>
      </c>
      <c r="G33" s="93">
        <f>a.4.Centralizat!H36</f>
        <v>0</v>
      </c>
      <c r="H33" s="93">
        <f>a.4.Centralizat!I36</f>
        <v>0</v>
      </c>
      <c r="I33" s="93">
        <f>a.4.Centralizat!J36</f>
        <v>0</v>
      </c>
      <c r="J33" s="93">
        <f>a.4.Centralizat!K36</f>
        <v>0</v>
      </c>
      <c r="K33" s="93">
        <f>a.4.Centralizat!L36</f>
        <v>0</v>
      </c>
      <c r="L33" s="93">
        <f>a.4.Centralizat!O36</f>
        <v>0</v>
      </c>
      <c r="M33" s="93">
        <v>0</v>
      </c>
      <c r="N33" s="358">
        <v>0</v>
      </c>
      <c r="O33" s="741">
        <f t="shared" si="0"/>
        <v>0</v>
      </c>
      <c r="P33" s="78"/>
    </row>
    <row r="34" spans="1:16" ht="12" thickBot="1" x14ac:dyDescent="0.25">
      <c r="A34" s="978"/>
      <c r="B34" s="978"/>
      <c r="C34" s="84" t="s">
        <v>40</v>
      </c>
      <c r="D34" s="984" t="s">
        <v>339</v>
      </c>
      <c r="E34" s="985"/>
      <c r="F34" s="84">
        <f t="shared" si="1"/>
        <v>25</v>
      </c>
      <c r="G34" s="94">
        <f>a.4.Centralizat!H37</f>
        <v>450000</v>
      </c>
      <c r="H34" s="94">
        <f>a.4.Centralizat!I37</f>
        <v>150000</v>
      </c>
      <c r="I34" s="94">
        <f>a.4.Centralizat!J37</f>
        <v>100000</v>
      </c>
      <c r="J34" s="94">
        <f>a.4.Centralizat!K37</f>
        <v>100000</v>
      </c>
      <c r="K34" s="94">
        <f>a.4.Centralizat!L37</f>
        <v>100000</v>
      </c>
      <c r="L34" s="94">
        <f>a.4.Centralizat!O37</f>
        <v>903303</v>
      </c>
      <c r="M34" s="94">
        <v>1035000</v>
      </c>
      <c r="N34" s="359">
        <v>450000</v>
      </c>
      <c r="O34" s="741">
        <f t="shared" si="0"/>
        <v>0</v>
      </c>
      <c r="P34" s="78"/>
    </row>
    <row r="35" spans="1:16" ht="12" thickBot="1" x14ac:dyDescent="0.25">
      <c r="A35" s="978"/>
      <c r="B35" s="978"/>
      <c r="C35" s="84" t="s">
        <v>42</v>
      </c>
      <c r="D35" s="984" t="s">
        <v>340</v>
      </c>
      <c r="E35" s="985"/>
      <c r="F35" s="84">
        <f t="shared" si="1"/>
        <v>26</v>
      </c>
      <c r="G35" s="93">
        <f>a.4.Centralizat!H38</f>
        <v>500057.674</v>
      </c>
      <c r="H35" s="93">
        <f>a.4.Centralizat!I38</f>
        <v>150012.80600000001</v>
      </c>
      <c r="I35" s="93">
        <f>a.4.Centralizat!J38</f>
        <v>150014.06600000002</v>
      </c>
      <c r="J35" s="93">
        <f>a.4.Centralizat!K38</f>
        <v>100015.626</v>
      </c>
      <c r="K35" s="93">
        <f>a.4.Centralizat!L38</f>
        <v>100015.17600000001</v>
      </c>
      <c r="L35" s="93">
        <f>a.4.Centralizat!O38</f>
        <v>884742</v>
      </c>
      <c r="M35" s="93">
        <v>550184.30999999994</v>
      </c>
      <c r="N35" s="358">
        <v>500057.674</v>
      </c>
      <c r="O35" s="741">
        <f t="shared" si="0"/>
        <v>0</v>
      </c>
      <c r="P35" s="78"/>
    </row>
    <row r="36" spans="1:16" ht="12" thickBot="1" x14ac:dyDescent="0.25">
      <c r="A36" s="978"/>
      <c r="B36" s="979"/>
      <c r="C36" s="84" t="s">
        <v>28</v>
      </c>
      <c r="D36" s="984" t="s">
        <v>341</v>
      </c>
      <c r="E36" s="985"/>
      <c r="F36" s="84">
        <f t="shared" si="1"/>
        <v>27</v>
      </c>
      <c r="G36" s="93">
        <f>a.4.Centralizat!H39</f>
        <v>0</v>
      </c>
      <c r="H36" s="93">
        <f>a.4.Centralizat!I39</f>
        <v>0</v>
      </c>
      <c r="I36" s="93">
        <f>a.4.Centralizat!J39</f>
        <v>0</v>
      </c>
      <c r="J36" s="93">
        <f>a.4.Centralizat!K39</f>
        <v>0</v>
      </c>
      <c r="K36" s="93">
        <f>a.4.Centralizat!L39</f>
        <v>0</v>
      </c>
      <c r="L36" s="93">
        <f>a.4.Centralizat!O39</f>
        <v>0</v>
      </c>
      <c r="M36" s="93">
        <v>0</v>
      </c>
      <c r="N36" s="358">
        <v>0</v>
      </c>
      <c r="O36" s="741">
        <f t="shared" si="0"/>
        <v>0</v>
      </c>
      <c r="P36" s="78"/>
    </row>
    <row r="37" spans="1:16" ht="12" thickBot="1" x14ac:dyDescent="0.25">
      <c r="A37" s="979"/>
      <c r="B37" s="84" t="s">
        <v>17</v>
      </c>
      <c r="C37" s="84"/>
      <c r="D37" s="984" t="s">
        <v>115</v>
      </c>
      <c r="E37" s="985"/>
      <c r="F37" s="84">
        <f t="shared" si="1"/>
        <v>28</v>
      </c>
      <c r="G37" s="93">
        <f>a.4.Centralizat!H40</f>
        <v>0</v>
      </c>
      <c r="H37" s="93">
        <f>a.4.Centralizat!I40</f>
        <v>0</v>
      </c>
      <c r="I37" s="93">
        <f>a.4.Centralizat!J40</f>
        <v>0</v>
      </c>
      <c r="J37" s="93">
        <f>a.4.Centralizat!K40</f>
        <v>0</v>
      </c>
      <c r="K37" s="93">
        <f>a.4.Centralizat!L40</f>
        <v>0</v>
      </c>
      <c r="L37" s="93">
        <f>a.4.Centralizat!O40</f>
        <v>0</v>
      </c>
      <c r="M37" s="93">
        <v>0</v>
      </c>
      <c r="N37" s="358">
        <v>0</v>
      </c>
      <c r="O37" s="741">
        <f t="shared" si="0"/>
        <v>0</v>
      </c>
      <c r="P37" s="78"/>
    </row>
    <row r="38" spans="1:16" ht="12" thickBot="1" x14ac:dyDescent="0.25">
      <c r="A38" s="87" t="s">
        <v>23</v>
      </c>
      <c r="B38" s="968" t="s">
        <v>463</v>
      </c>
      <c r="C38" s="1011"/>
      <c r="D38" s="1011"/>
      <c r="E38" s="969"/>
      <c r="F38" s="284">
        <f t="shared" si="1"/>
        <v>29</v>
      </c>
      <c r="G38" s="88">
        <f>a.4.Centralizat!H41</f>
        <v>126930334.85888</v>
      </c>
      <c r="H38" s="88">
        <f>a.4.Centralizat!I41</f>
        <v>26828189.174519997</v>
      </c>
      <c r="I38" s="88">
        <f>a.4.Centralizat!J41</f>
        <v>30030229.225339994</v>
      </c>
      <c r="J38" s="88">
        <f>a.4.Centralizat!K41</f>
        <v>33061463.856080003</v>
      </c>
      <c r="K38" s="88">
        <f>a.4.Centralizat!L41</f>
        <v>37010452.602939986</v>
      </c>
      <c r="L38" s="88">
        <f>a.4.Centralizat!O41</f>
        <v>108845474.63451999</v>
      </c>
      <c r="M38" s="88">
        <v>119745058.75237469</v>
      </c>
      <c r="N38" s="353">
        <v>121251167.85888</v>
      </c>
      <c r="O38" s="741">
        <f t="shared" si="0"/>
        <v>5679167</v>
      </c>
      <c r="P38" s="78"/>
    </row>
    <row r="39" spans="1:16" ht="12" thickBot="1" x14ac:dyDescent="0.25">
      <c r="A39" s="977"/>
      <c r="B39" s="97" t="s">
        <v>4</v>
      </c>
      <c r="C39" s="989" t="s">
        <v>464</v>
      </c>
      <c r="D39" s="990"/>
      <c r="E39" s="991"/>
      <c r="F39" s="97">
        <f t="shared" si="1"/>
        <v>30</v>
      </c>
      <c r="G39" s="98">
        <f>a.4.Centralizat!H42</f>
        <v>125120334.85888</v>
      </c>
      <c r="H39" s="98">
        <f>a.4.Centralizat!I42</f>
        <v>26258189.174519997</v>
      </c>
      <c r="I39" s="98">
        <f>a.4.Centralizat!J42</f>
        <v>29830229.225339994</v>
      </c>
      <c r="J39" s="98">
        <f>a.4.Centralizat!K42</f>
        <v>32306463.856080003</v>
      </c>
      <c r="K39" s="98">
        <f>a.4.Centralizat!L42</f>
        <v>36725452.602939993</v>
      </c>
      <c r="L39" s="98">
        <f>a.4.Centralizat!O42</f>
        <v>107056397.63451999</v>
      </c>
      <c r="M39" s="98">
        <v>117343879.75237469</v>
      </c>
      <c r="N39" s="361">
        <v>119441167.85888</v>
      </c>
      <c r="O39" s="741">
        <f t="shared" si="0"/>
        <v>5679167</v>
      </c>
      <c r="P39" s="78"/>
    </row>
    <row r="40" spans="1:16" ht="12" thickBot="1" x14ac:dyDescent="0.25">
      <c r="A40" s="978"/>
      <c r="B40" s="977"/>
      <c r="C40" s="989" t="s">
        <v>473</v>
      </c>
      <c r="D40" s="990"/>
      <c r="E40" s="991"/>
      <c r="F40" s="97">
        <f t="shared" si="1"/>
        <v>31</v>
      </c>
      <c r="G40" s="98">
        <f>a.4.Centralizat!H43</f>
        <v>55297567.43</v>
      </c>
      <c r="H40" s="98">
        <f>a.4.Centralizat!I43</f>
        <v>12560373.84</v>
      </c>
      <c r="I40" s="98">
        <f>a.4.Centralizat!J43</f>
        <v>14097800.75</v>
      </c>
      <c r="J40" s="98">
        <f>a.4.Centralizat!K43</f>
        <v>14959815.210000001</v>
      </c>
      <c r="K40" s="98">
        <f>a.4.Centralizat!L43</f>
        <v>13679577.630000001</v>
      </c>
      <c r="L40" s="98">
        <f>a.4.Centralizat!O43</f>
        <v>43553966</v>
      </c>
      <c r="M40" s="98">
        <v>49328134.633922502</v>
      </c>
      <c r="N40" s="361">
        <v>54982567.43</v>
      </c>
      <c r="O40" s="741">
        <f t="shared" si="0"/>
        <v>315000</v>
      </c>
      <c r="P40" s="78"/>
    </row>
    <row r="41" spans="1:16" ht="12" thickBot="1" x14ac:dyDescent="0.25">
      <c r="A41" s="978"/>
      <c r="B41" s="978"/>
      <c r="C41" s="99" t="s">
        <v>265</v>
      </c>
      <c r="D41" s="1012" t="s">
        <v>342</v>
      </c>
      <c r="E41" s="1013"/>
      <c r="F41" s="97">
        <f t="shared" si="1"/>
        <v>32</v>
      </c>
      <c r="G41" s="100">
        <f>a.4.Centralizat!H44</f>
        <v>38307838.230000004</v>
      </c>
      <c r="H41" s="100">
        <f>a.4.Centralizat!I44</f>
        <v>9146859.0700000003</v>
      </c>
      <c r="I41" s="100">
        <f>a.4.Centralizat!J44</f>
        <v>9815889.75</v>
      </c>
      <c r="J41" s="100">
        <f>a.4.Centralizat!K44</f>
        <v>10224123.880000001</v>
      </c>
      <c r="K41" s="100">
        <f>a.4.Centralizat!L44</f>
        <v>9120965.5300000012</v>
      </c>
      <c r="L41" s="100">
        <f>a.4.Centralizat!O44</f>
        <v>32317900</v>
      </c>
      <c r="M41" s="100">
        <v>34558943.218805</v>
      </c>
      <c r="N41" s="362">
        <v>38307838.230000004</v>
      </c>
      <c r="O41" s="741">
        <f t="shared" si="0"/>
        <v>0</v>
      </c>
      <c r="P41" s="78"/>
    </row>
    <row r="42" spans="1:16" ht="12" thickBot="1" x14ac:dyDescent="0.25">
      <c r="A42" s="978"/>
      <c r="B42" s="978"/>
      <c r="C42" s="84" t="s">
        <v>27</v>
      </c>
      <c r="D42" s="984" t="s">
        <v>227</v>
      </c>
      <c r="E42" s="985"/>
      <c r="F42" s="84">
        <f t="shared" si="1"/>
        <v>33</v>
      </c>
      <c r="G42" s="89">
        <f>a.4.Centralizat!H45</f>
        <v>2081815.31</v>
      </c>
      <c r="H42" s="89">
        <f>a.4.Centralizat!I45</f>
        <v>507613.15</v>
      </c>
      <c r="I42" s="89">
        <f>a.4.Centralizat!J45</f>
        <v>557643.14999999991</v>
      </c>
      <c r="J42" s="89">
        <f>a.4.Centralizat!K45</f>
        <v>457743.15</v>
      </c>
      <c r="K42" s="89">
        <f>a.4.Centralizat!L45</f>
        <v>558815.86</v>
      </c>
      <c r="L42" s="89">
        <f>a.4.Centralizat!O45</f>
        <v>1639505</v>
      </c>
      <c r="M42" s="89">
        <v>1435336.257985</v>
      </c>
      <c r="N42" s="113">
        <v>2081815.31</v>
      </c>
      <c r="O42" s="741">
        <f t="shared" si="0"/>
        <v>0</v>
      </c>
      <c r="P42" s="78"/>
    </row>
    <row r="43" spans="1:16" ht="12" thickBot="1" x14ac:dyDescent="0.25">
      <c r="A43" s="978"/>
      <c r="B43" s="978"/>
      <c r="C43" s="84" t="s">
        <v>38</v>
      </c>
      <c r="D43" s="984" t="s">
        <v>267</v>
      </c>
      <c r="E43" s="985"/>
      <c r="F43" s="84">
        <f t="shared" si="1"/>
        <v>34</v>
      </c>
      <c r="G43" s="89">
        <f>a.4.Centralizat!H46</f>
        <v>7312656.6399999997</v>
      </c>
      <c r="H43" s="89">
        <f>a.4.Centralizat!I46</f>
        <v>1560692.88</v>
      </c>
      <c r="I43" s="89">
        <f>a.4.Centralizat!J46</f>
        <v>2004429.69</v>
      </c>
      <c r="J43" s="89">
        <f>a.4.Centralizat!K46</f>
        <v>1987998.4</v>
      </c>
      <c r="K43" s="89">
        <f>a.4.Centralizat!L46</f>
        <v>1759535.67</v>
      </c>
      <c r="L43" s="89">
        <f>a.4.Centralizat!O46</f>
        <v>6226815</v>
      </c>
      <c r="M43" s="89">
        <v>6848512.6945993993</v>
      </c>
      <c r="N43" s="113">
        <v>7312656.6399999997</v>
      </c>
      <c r="O43" s="741">
        <f t="shared" si="0"/>
        <v>0</v>
      </c>
      <c r="P43" s="78"/>
    </row>
    <row r="44" spans="1:16" ht="12" thickBot="1" x14ac:dyDescent="0.25">
      <c r="A44" s="978"/>
      <c r="B44" s="978"/>
      <c r="C44" s="84"/>
      <c r="D44" s="85" t="s">
        <v>76</v>
      </c>
      <c r="E44" s="85" t="s">
        <v>268</v>
      </c>
      <c r="F44" s="84">
        <f t="shared" si="1"/>
        <v>35</v>
      </c>
      <c r="G44" s="89">
        <f>a.4.Centralizat!H47</f>
        <v>4604339.93</v>
      </c>
      <c r="H44" s="89">
        <f>a.4.Centralizat!I47</f>
        <v>949342.86</v>
      </c>
      <c r="I44" s="89">
        <f>a.4.Centralizat!J47</f>
        <v>1283331.17</v>
      </c>
      <c r="J44" s="89">
        <f>a.4.Centralizat!K47</f>
        <v>1251062.23</v>
      </c>
      <c r="K44" s="89">
        <f>a.4.Centralizat!L47</f>
        <v>1120603.67</v>
      </c>
      <c r="L44" s="89">
        <f>a.4.Centralizat!O47</f>
        <v>4216376</v>
      </c>
      <c r="M44" s="89">
        <v>4347078.5226568002</v>
      </c>
      <c r="N44" s="113">
        <v>4604339.93</v>
      </c>
      <c r="O44" s="741">
        <f t="shared" si="0"/>
        <v>0</v>
      </c>
      <c r="P44" s="78"/>
    </row>
    <row r="45" spans="1:16" ht="12" thickBot="1" x14ac:dyDescent="0.25">
      <c r="A45" s="978"/>
      <c r="B45" s="978"/>
      <c r="C45" s="84"/>
      <c r="D45" s="85" t="s">
        <v>99</v>
      </c>
      <c r="E45" s="85" t="s">
        <v>269</v>
      </c>
      <c r="F45" s="84">
        <f t="shared" si="1"/>
        <v>36</v>
      </c>
      <c r="G45" s="89">
        <f>a.4.Centralizat!H54</f>
        <v>2711966.71</v>
      </c>
      <c r="H45" s="89">
        <f>a.4.Centralizat!I54</f>
        <v>612250.02</v>
      </c>
      <c r="I45" s="89">
        <f>a.4.Centralizat!J54</f>
        <v>721998.52</v>
      </c>
      <c r="J45" s="89">
        <f>a.4.Centralizat!K54</f>
        <v>737836.17</v>
      </c>
      <c r="K45" s="89">
        <f>a.4.Centralizat!L54</f>
        <v>639882</v>
      </c>
      <c r="L45" s="89">
        <f>a.4.Centralizat!O54</f>
        <v>2010439</v>
      </c>
      <c r="M45" s="89">
        <v>2501434.1719426</v>
      </c>
      <c r="N45" s="113">
        <v>2711966.71</v>
      </c>
      <c r="O45" s="741">
        <f t="shared" si="0"/>
        <v>0</v>
      </c>
      <c r="P45" s="78"/>
    </row>
    <row r="46" spans="1:16" ht="12" thickBot="1" x14ac:dyDescent="0.25">
      <c r="A46" s="978"/>
      <c r="B46" s="978"/>
      <c r="C46" s="84" t="s">
        <v>40</v>
      </c>
      <c r="D46" s="973" t="s">
        <v>343</v>
      </c>
      <c r="E46" s="974"/>
      <c r="F46" s="84">
        <f t="shared" si="1"/>
        <v>37</v>
      </c>
      <c r="G46" s="89">
        <f>a.4.Centralizat!H57</f>
        <v>1655291.01</v>
      </c>
      <c r="H46" s="89">
        <f>a.4.Centralizat!I57</f>
        <v>375022.67</v>
      </c>
      <c r="I46" s="89">
        <f>a.4.Centralizat!J57</f>
        <v>376122.67</v>
      </c>
      <c r="J46" s="89">
        <f>a.4.Centralizat!K57</f>
        <v>425822.67</v>
      </c>
      <c r="K46" s="89">
        <f>a.4.Centralizat!L57</f>
        <v>478323</v>
      </c>
      <c r="L46" s="89">
        <f>a.4.Centralizat!O57</f>
        <v>1486420</v>
      </c>
      <c r="M46" s="89">
        <v>1051546.0659937998</v>
      </c>
      <c r="N46" s="113">
        <v>1655291.01</v>
      </c>
      <c r="O46" s="741">
        <f t="shared" si="0"/>
        <v>0</v>
      </c>
      <c r="P46" s="78"/>
    </row>
    <row r="47" spans="1:16" ht="12" thickBot="1" x14ac:dyDescent="0.25">
      <c r="A47" s="978"/>
      <c r="B47" s="978"/>
      <c r="C47" s="84" t="s">
        <v>42</v>
      </c>
      <c r="D47" s="984" t="s">
        <v>271</v>
      </c>
      <c r="E47" s="985"/>
      <c r="F47" s="84">
        <f t="shared" si="1"/>
        <v>38</v>
      </c>
      <c r="G47" s="89">
        <f>a.4.Centralizat!H58</f>
        <v>27258075.27</v>
      </c>
      <c r="H47" s="89">
        <f>a.4.Centralizat!I58</f>
        <v>6703530.3700000001</v>
      </c>
      <c r="I47" s="89">
        <f>a.4.Centralizat!J58</f>
        <v>6877694.2400000002</v>
      </c>
      <c r="J47" s="89">
        <f>a.4.Centralizat!K58</f>
        <v>7352559.6600000001</v>
      </c>
      <c r="K47" s="89">
        <f>a.4.Centralizat!L58</f>
        <v>6324291</v>
      </c>
      <c r="L47" s="89">
        <f>a.4.Centralizat!O58</f>
        <v>22965160</v>
      </c>
      <c r="M47" s="89">
        <v>25223548.200226799</v>
      </c>
      <c r="N47" s="113">
        <v>27258075.27</v>
      </c>
      <c r="O47" s="741">
        <f t="shared" si="0"/>
        <v>0</v>
      </c>
      <c r="P47" s="78"/>
    </row>
    <row r="48" spans="1:16" ht="12" thickBot="1" x14ac:dyDescent="0.25">
      <c r="A48" s="978"/>
      <c r="B48" s="978"/>
      <c r="C48" s="84" t="s">
        <v>28</v>
      </c>
      <c r="D48" s="984" t="s">
        <v>272</v>
      </c>
      <c r="E48" s="985"/>
      <c r="F48" s="84">
        <f t="shared" si="1"/>
        <v>39</v>
      </c>
      <c r="G48" s="89">
        <f>a.4.Centralizat!H64</f>
        <v>0</v>
      </c>
      <c r="H48" s="89">
        <f>a.4.Centralizat!I64</f>
        <v>0</v>
      </c>
      <c r="I48" s="89">
        <f>a.4.Centralizat!J64</f>
        <v>0</v>
      </c>
      <c r="J48" s="89">
        <f>a.4.Centralizat!K64</f>
        <v>0</v>
      </c>
      <c r="K48" s="89">
        <f>a.4.Centralizat!L64</f>
        <v>0</v>
      </c>
      <c r="L48" s="89">
        <f>a.4.Centralizat!O64</f>
        <v>0</v>
      </c>
      <c r="M48" s="89">
        <v>0</v>
      </c>
      <c r="N48" s="113">
        <v>0</v>
      </c>
      <c r="O48" s="741">
        <f t="shared" si="0"/>
        <v>0</v>
      </c>
      <c r="P48" s="78"/>
    </row>
    <row r="49" spans="1:16" ht="12" thickBot="1" x14ac:dyDescent="0.25">
      <c r="A49" s="978"/>
      <c r="B49" s="978"/>
      <c r="C49" s="99" t="s">
        <v>273</v>
      </c>
      <c r="D49" s="1007" t="s">
        <v>465</v>
      </c>
      <c r="E49" s="1008"/>
      <c r="F49" s="97">
        <f t="shared" si="1"/>
        <v>40</v>
      </c>
      <c r="G49" s="100">
        <f>a.4.Centralizat!H65</f>
        <v>8114574.5999999996</v>
      </c>
      <c r="H49" s="100">
        <f>a.4.Centralizat!I65</f>
        <v>1613166.37</v>
      </c>
      <c r="I49" s="100">
        <f>a.4.Centralizat!J65</f>
        <v>2249414.7999999998</v>
      </c>
      <c r="J49" s="100">
        <f>a.4.Centralizat!K65</f>
        <v>2211973</v>
      </c>
      <c r="K49" s="100">
        <f>a.4.Centralizat!L65</f>
        <v>2039170.43</v>
      </c>
      <c r="L49" s="100">
        <f>a.4.Centralizat!O65</f>
        <v>4478513</v>
      </c>
      <c r="M49" s="100">
        <v>5961749.4235975007</v>
      </c>
      <c r="N49" s="362">
        <v>8114574.5999999996</v>
      </c>
      <c r="O49" s="741">
        <f t="shared" si="0"/>
        <v>0</v>
      </c>
      <c r="P49" s="78"/>
    </row>
    <row r="50" spans="1:16" ht="12" thickBot="1" x14ac:dyDescent="0.25">
      <c r="A50" s="978"/>
      <c r="B50" s="978"/>
      <c r="C50" s="84" t="s">
        <v>27</v>
      </c>
      <c r="D50" s="984" t="s">
        <v>274</v>
      </c>
      <c r="E50" s="985"/>
      <c r="F50" s="84">
        <f t="shared" si="1"/>
        <v>41</v>
      </c>
      <c r="G50" s="89">
        <f>a.4.Centralizat!H66</f>
        <v>7024961.8799999999</v>
      </c>
      <c r="H50" s="89">
        <f>a.4.Centralizat!I66</f>
        <v>1402015.96</v>
      </c>
      <c r="I50" s="89">
        <f>a.4.Centralizat!J66</f>
        <v>1985423.96</v>
      </c>
      <c r="J50" s="89">
        <f>a.4.Centralizat!K66</f>
        <v>1936473.96</v>
      </c>
      <c r="K50" s="89">
        <f>a.4.Centralizat!L66</f>
        <v>1701048</v>
      </c>
      <c r="L50" s="89">
        <f>a.4.Centralizat!O66</f>
        <v>3837966</v>
      </c>
      <c r="M50" s="89">
        <v>5048212.7691079006</v>
      </c>
      <c r="N50" s="113">
        <v>7024961.8799999999</v>
      </c>
      <c r="O50" s="741">
        <f t="shared" si="0"/>
        <v>0</v>
      </c>
      <c r="P50" s="78"/>
    </row>
    <row r="51" spans="1:16" ht="12" thickBot="1" x14ac:dyDescent="0.25">
      <c r="A51" s="978"/>
      <c r="B51" s="978"/>
      <c r="C51" s="84" t="s">
        <v>38</v>
      </c>
      <c r="D51" s="984" t="s">
        <v>275</v>
      </c>
      <c r="E51" s="985"/>
      <c r="F51" s="84">
        <f t="shared" si="1"/>
        <v>42</v>
      </c>
      <c r="G51" s="89">
        <f>a.4.Centralizat!H70</f>
        <v>711893.43</v>
      </c>
      <c r="H51" s="89">
        <f>a.4.Centralizat!I70</f>
        <v>126852</v>
      </c>
      <c r="I51" s="89">
        <f>a.4.Centralizat!J70</f>
        <v>178342</v>
      </c>
      <c r="J51" s="89">
        <f>a.4.Centralizat!K70</f>
        <v>178350</v>
      </c>
      <c r="K51" s="89">
        <f>a.4.Centralizat!L70</f>
        <v>228349.43</v>
      </c>
      <c r="L51" s="89">
        <f>a.4.Centralizat!O70</f>
        <v>431872</v>
      </c>
      <c r="M51" s="89">
        <v>638381.93707820005</v>
      </c>
      <c r="N51" s="113">
        <v>711893.43</v>
      </c>
      <c r="O51" s="741">
        <f t="shared" si="0"/>
        <v>0</v>
      </c>
      <c r="P51" s="78"/>
    </row>
    <row r="52" spans="1:16" ht="12" thickBot="1" x14ac:dyDescent="0.25">
      <c r="A52" s="977"/>
      <c r="B52" s="977"/>
      <c r="C52" s="84"/>
      <c r="D52" s="84" t="s">
        <v>76</v>
      </c>
      <c r="E52" s="71" t="s">
        <v>157</v>
      </c>
      <c r="F52" s="84">
        <f t="shared" si="1"/>
        <v>43</v>
      </c>
      <c r="G52" s="89">
        <f>a.4.Centralizat!H71</f>
        <v>99913.43</v>
      </c>
      <c r="H52" s="89">
        <f>a.4.Centralizat!I71</f>
        <v>24982</v>
      </c>
      <c r="I52" s="89">
        <f>a.4.Centralizat!J71</f>
        <v>24972</v>
      </c>
      <c r="J52" s="89">
        <f>a.4.Centralizat!K71</f>
        <v>24980</v>
      </c>
      <c r="K52" s="89">
        <f>a.4.Centralizat!L71</f>
        <v>24979.43</v>
      </c>
      <c r="L52" s="89">
        <f>a.4.Centralizat!O71</f>
        <v>15884</v>
      </c>
      <c r="M52" s="89">
        <v>212395.95199999999</v>
      </c>
      <c r="N52" s="113">
        <v>99913.43</v>
      </c>
      <c r="O52" s="741">
        <f t="shared" si="0"/>
        <v>0</v>
      </c>
      <c r="P52" s="78"/>
    </row>
    <row r="53" spans="1:16" ht="12" thickBot="1" x14ac:dyDescent="0.25">
      <c r="A53" s="978"/>
      <c r="B53" s="978"/>
      <c r="C53" s="84"/>
      <c r="D53" s="84" t="s">
        <v>99</v>
      </c>
      <c r="E53" s="85" t="s">
        <v>158</v>
      </c>
      <c r="F53" s="84">
        <f t="shared" si="1"/>
        <v>44</v>
      </c>
      <c r="G53" s="89">
        <f>a.4.Centralizat!H73</f>
        <v>605480</v>
      </c>
      <c r="H53" s="89">
        <f>a.4.Centralizat!I73</f>
        <v>101370</v>
      </c>
      <c r="I53" s="89">
        <f>a.4.Centralizat!J73</f>
        <v>151370</v>
      </c>
      <c r="J53" s="89">
        <f>a.4.Centralizat!K73</f>
        <v>151370</v>
      </c>
      <c r="K53" s="89">
        <f>a.4.Centralizat!L73</f>
        <v>201370</v>
      </c>
      <c r="L53" s="89">
        <f>a.4.Centralizat!O73</f>
        <v>415988</v>
      </c>
      <c r="M53" s="89">
        <v>409185.9850782</v>
      </c>
      <c r="N53" s="113">
        <v>605480</v>
      </c>
      <c r="O53" s="741">
        <f t="shared" si="0"/>
        <v>0</v>
      </c>
      <c r="P53" s="78"/>
    </row>
    <row r="54" spans="1:16" ht="12" thickBot="1" x14ac:dyDescent="0.25">
      <c r="A54" s="978"/>
      <c r="B54" s="978"/>
      <c r="C54" s="84" t="s">
        <v>40</v>
      </c>
      <c r="D54" s="984" t="s">
        <v>159</v>
      </c>
      <c r="E54" s="985"/>
      <c r="F54" s="84">
        <f t="shared" si="1"/>
        <v>45</v>
      </c>
      <c r="G54" s="89">
        <f>a.4.Centralizat!H74</f>
        <v>305781.40999999997</v>
      </c>
      <c r="H54" s="89">
        <f>a.4.Centralizat!I74</f>
        <v>71432.45</v>
      </c>
      <c r="I54" s="89">
        <f>a.4.Centralizat!J74</f>
        <v>71432.88</v>
      </c>
      <c r="J54" s="89">
        <f>a.4.Centralizat!K74</f>
        <v>81433.08</v>
      </c>
      <c r="K54" s="89">
        <f>a.4.Centralizat!L74</f>
        <v>81483</v>
      </c>
      <c r="L54" s="89">
        <f>a.4.Centralizat!O74</f>
        <v>208675</v>
      </c>
      <c r="M54" s="89">
        <v>275154.71741139999</v>
      </c>
      <c r="N54" s="113">
        <v>305781.40999999997</v>
      </c>
      <c r="O54" s="741">
        <f t="shared" si="0"/>
        <v>0</v>
      </c>
      <c r="P54" s="78"/>
    </row>
    <row r="55" spans="1:16" ht="39" customHeight="1" thickBot="1" x14ac:dyDescent="0.25">
      <c r="A55" s="978"/>
      <c r="B55" s="978"/>
      <c r="C55" s="99" t="s">
        <v>160</v>
      </c>
      <c r="D55" s="1007" t="s">
        <v>466</v>
      </c>
      <c r="E55" s="1008"/>
      <c r="F55" s="97">
        <f t="shared" si="1"/>
        <v>46</v>
      </c>
      <c r="G55" s="100">
        <f>a.4.Centralizat!H75</f>
        <v>8876004.5999999996</v>
      </c>
      <c r="H55" s="100">
        <f>a.4.Centralizat!I75</f>
        <v>1800348.4</v>
      </c>
      <c r="I55" s="100">
        <f>a.4.Centralizat!J75</f>
        <v>2032496.2</v>
      </c>
      <c r="J55" s="100">
        <f>a.4.Centralizat!K75</f>
        <v>2523718.33</v>
      </c>
      <c r="K55" s="100">
        <f>a.4.Centralizat!L75</f>
        <v>2519441.67</v>
      </c>
      <c r="L55" s="100">
        <f>a.4.Centralizat!O75</f>
        <v>6757553</v>
      </c>
      <c r="M55" s="100">
        <v>8807441.9915199988</v>
      </c>
      <c r="N55" s="362">
        <v>8561004.5999999996</v>
      </c>
      <c r="O55" s="741">
        <f t="shared" si="0"/>
        <v>315000</v>
      </c>
      <c r="P55" s="78"/>
    </row>
    <row r="56" spans="1:16" ht="12" thickBot="1" x14ac:dyDescent="0.25">
      <c r="A56" s="978"/>
      <c r="B56" s="978"/>
      <c r="C56" s="84" t="s">
        <v>27</v>
      </c>
      <c r="D56" s="1009" t="s">
        <v>161</v>
      </c>
      <c r="E56" s="1010"/>
      <c r="F56" s="84">
        <f t="shared" si="1"/>
        <v>47</v>
      </c>
      <c r="G56" s="101">
        <f>a.4.Centralizat!H76</f>
        <v>12000</v>
      </c>
      <c r="H56" s="101">
        <f>a.4.Centralizat!I76</f>
        <v>3000</v>
      </c>
      <c r="I56" s="101">
        <f>a.4.Centralizat!J76</f>
        <v>3000</v>
      </c>
      <c r="J56" s="101">
        <f>a.4.Centralizat!K76</f>
        <v>3000</v>
      </c>
      <c r="K56" s="101">
        <f>a.4.Centralizat!L76</f>
        <v>3000</v>
      </c>
      <c r="L56" s="101">
        <f>a.4.Centralizat!O76</f>
        <v>4586</v>
      </c>
      <c r="M56" s="101">
        <v>6000</v>
      </c>
      <c r="N56" s="363">
        <v>12000</v>
      </c>
      <c r="O56" s="741">
        <f t="shared" si="0"/>
        <v>0</v>
      </c>
      <c r="P56" s="78"/>
    </row>
    <row r="57" spans="1:16" ht="12" thickBot="1" x14ac:dyDescent="0.25">
      <c r="A57" s="978"/>
      <c r="B57" s="978"/>
      <c r="C57" s="84" t="s">
        <v>38</v>
      </c>
      <c r="D57" s="1009" t="s">
        <v>162</v>
      </c>
      <c r="E57" s="1010"/>
      <c r="F57" s="84">
        <f t="shared" si="1"/>
        <v>48</v>
      </c>
      <c r="G57" s="101">
        <f>a.4.Centralizat!H77</f>
        <v>28000</v>
      </c>
      <c r="H57" s="101">
        <f>a.4.Centralizat!I77</f>
        <v>7000</v>
      </c>
      <c r="I57" s="101">
        <f>a.4.Centralizat!J77</f>
        <v>7000</v>
      </c>
      <c r="J57" s="101">
        <f>a.4.Centralizat!K77</f>
        <v>7000</v>
      </c>
      <c r="K57" s="101">
        <f>a.4.Centralizat!L77</f>
        <v>7000</v>
      </c>
      <c r="L57" s="101">
        <f>a.4.Centralizat!O77</f>
        <v>19460</v>
      </c>
      <c r="M57" s="101">
        <v>420000</v>
      </c>
      <c r="N57" s="363">
        <v>28000</v>
      </c>
      <c r="O57" s="741">
        <f t="shared" si="0"/>
        <v>0</v>
      </c>
      <c r="P57" s="78"/>
    </row>
    <row r="58" spans="1:16" ht="12" thickBot="1" x14ac:dyDescent="0.25">
      <c r="A58" s="978"/>
      <c r="B58" s="978"/>
      <c r="C58" s="84"/>
      <c r="D58" s="1009" t="s">
        <v>381</v>
      </c>
      <c r="E58" s="1010"/>
      <c r="F58" s="84">
        <f t="shared" si="1"/>
        <v>49</v>
      </c>
      <c r="G58" s="101">
        <f>a.4.Centralizat!H78</f>
        <v>8000</v>
      </c>
      <c r="H58" s="101">
        <f>a.4.Centralizat!I78</f>
        <v>2000</v>
      </c>
      <c r="I58" s="101">
        <f>a.4.Centralizat!J78</f>
        <v>2000</v>
      </c>
      <c r="J58" s="101">
        <f>a.4.Centralizat!K78</f>
        <v>2000</v>
      </c>
      <c r="K58" s="101">
        <f>a.4.Centralizat!L78</f>
        <v>2000</v>
      </c>
      <c r="L58" s="101">
        <f>a.4.Centralizat!O78</f>
        <v>0</v>
      </c>
      <c r="M58" s="101">
        <v>400000</v>
      </c>
      <c r="N58" s="363">
        <v>8000</v>
      </c>
      <c r="O58" s="741">
        <f t="shared" si="0"/>
        <v>0</v>
      </c>
      <c r="P58" s="78"/>
    </row>
    <row r="59" spans="1:16" ht="12" thickBot="1" x14ac:dyDescent="0.25">
      <c r="A59" s="978"/>
      <c r="B59" s="978"/>
      <c r="C59" s="84" t="s">
        <v>40</v>
      </c>
      <c r="D59" s="982" t="s">
        <v>432</v>
      </c>
      <c r="E59" s="983"/>
      <c r="F59" s="84">
        <f t="shared" si="1"/>
        <v>50</v>
      </c>
      <c r="G59" s="89">
        <f>a.4.Centralizat!H79</f>
        <v>465000</v>
      </c>
      <c r="H59" s="89">
        <f>a.4.Centralizat!I79</f>
        <v>80000</v>
      </c>
      <c r="I59" s="89">
        <f>a.4.Centralizat!J79</f>
        <v>100000</v>
      </c>
      <c r="J59" s="89">
        <f>a.4.Centralizat!K79</f>
        <v>105000</v>
      </c>
      <c r="K59" s="89">
        <f>a.4.Centralizat!L79</f>
        <v>180000</v>
      </c>
      <c r="L59" s="89">
        <f>a.4.Centralizat!O79</f>
        <v>383344</v>
      </c>
      <c r="M59" s="89">
        <v>460000</v>
      </c>
      <c r="N59" s="113">
        <v>465000</v>
      </c>
      <c r="O59" s="741">
        <f t="shared" si="0"/>
        <v>0</v>
      </c>
      <c r="P59" s="78"/>
    </row>
    <row r="60" spans="1:16" ht="12" thickBot="1" x14ac:dyDescent="0.25">
      <c r="A60" s="978"/>
      <c r="B60" s="978"/>
      <c r="C60" s="84"/>
      <c r="D60" s="84" t="s">
        <v>278</v>
      </c>
      <c r="E60" s="85" t="s">
        <v>163</v>
      </c>
      <c r="F60" s="84">
        <f t="shared" si="1"/>
        <v>51</v>
      </c>
      <c r="G60" s="89">
        <f>a.4.Centralizat!H80</f>
        <v>155000</v>
      </c>
      <c r="H60" s="89">
        <f>a.4.Centralizat!I80</f>
        <v>30000</v>
      </c>
      <c r="I60" s="89">
        <f>a.4.Centralizat!J80</f>
        <v>40000</v>
      </c>
      <c r="J60" s="89">
        <f>a.4.Centralizat!K80</f>
        <v>35000</v>
      </c>
      <c r="K60" s="89">
        <f>a.4.Centralizat!L80</f>
        <v>50000</v>
      </c>
      <c r="L60" s="89">
        <f>a.4.Centralizat!O80</f>
        <v>85823</v>
      </c>
      <c r="M60" s="89">
        <v>160000</v>
      </c>
      <c r="N60" s="113">
        <v>155000</v>
      </c>
      <c r="O60" s="741">
        <f t="shared" si="0"/>
        <v>0</v>
      </c>
      <c r="P60" s="78"/>
    </row>
    <row r="61" spans="1:16" ht="23.25" thickBot="1" x14ac:dyDescent="0.25">
      <c r="A61" s="978"/>
      <c r="B61" s="978"/>
      <c r="C61" s="84"/>
      <c r="D61" s="84"/>
      <c r="E61" s="71" t="s">
        <v>164</v>
      </c>
      <c r="F61" s="84">
        <f t="shared" si="1"/>
        <v>52</v>
      </c>
      <c r="G61" s="89">
        <f>a.4.Centralizat!H81</f>
        <v>0</v>
      </c>
      <c r="H61" s="89">
        <f>a.4.Centralizat!I81</f>
        <v>0</v>
      </c>
      <c r="I61" s="89">
        <f>a.4.Centralizat!J81</f>
        <v>0</v>
      </c>
      <c r="J61" s="89">
        <f>a.4.Centralizat!K81</f>
        <v>0</v>
      </c>
      <c r="K61" s="89">
        <f>a.4.Centralizat!L81</f>
        <v>0</v>
      </c>
      <c r="L61" s="89">
        <f>a.4.Centralizat!O81</f>
        <v>0</v>
      </c>
      <c r="M61" s="89">
        <v>0</v>
      </c>
      <c r="N61" s="113">
        <v>0</v>
      </c>
      <c r="O61" s="741">
        <f t="shared" si="0"/>
        <v>0</v>
      </c>
      <c r="P61" s="78"/>
    </row>
    <row r="62" spans="1:16" ht="12" thickBot="1" x14ac:dyDescent="0.25">
      <c r="A62" s="978"/>
      <c r="B62" s="978"/>
      <c r="C62" s="84"/>
      <c r="D62" s="84" t="s">
        <v>165</v>
      </c>
      <c r="E62" s="85" t="s">
        <v>166</v>
      </c>
      <c r="F62" s="84">
        <f t="shared" si="1"/>
        <v>53</v>
      </c>
      <c r="G62" s="89">
        <f>a.4.Centralizat!H82</f>
        <v>310000</v>
      </c>
      <c r="H62" s="89">
        <f>a.4.Centralizat!I82</f>
        <v>50000</v>
      </c>
      <c r="I62" s="89">
        <f>a.4.Centralizat!J82</f>
        <v>60000</v>
      </c>
      <c r="J62" s="89">
        <f>a.4.Centralizat!K82</f>
        <v>70000</v>
      </c>
      <c r="K62" s="89">
        <f>a.4.Centralizat!L82</f>
        <v>130000</v>
      </c>
      <c r="L62" s="89">
        <f>a.4.Centralizat!O82</f>
        <v>297521</v>
      </c>
      <c r="M62" s="89">
        <v>300000</v>
      </c>
      <c r="N62" s="113">
        <v>310000</v>
      </c>
      <c r="O62" s="741">
        <f t="shared" si="0"/>
        <v>0</v>
      </c>
      <c r="P62" s="78"/>
    </row>
    <row r="63" spans="1:16" ht="23.25" thickBot="1" x14ac:dyDescent="0.25">
      <c r="A63" s="978"/>
      <c r="B63" s="978"/>
      <c r="C63" s="84"/>
      <c r="D63" s="84"/>
      <c r="E63" s="71" t="s">
        <v>167</v>
      </c>
      <c r="F63" s="84">
        <f t="shared" si="1"/>
        <v>54</v>
      </c>
      <c r="G63" s="89">
        <f>a.4.Centralizat!H83</f>
        <v>0</v>
      </c>
      <c r="H63" s="89">
        <f>a.4.Centralizat!I83</f>
        <v>0</v>
      </c>
      <c r="I63" s="89">
        <f>a.4.Centralizat!J83</f>
        <v>0</v>
      </c>
      <c r="J63" s="89">
        <f>a.4.Centralizat!K83</f>
        <v>0</v>
      </c>
      <c r="K63" s="89">
        <f>a.4.Centralizat!L83</f>
        <v>0</v>
      </c>
      <c r="L63" s="89">
        <f>a.4.Centralizat!O83</f>
        <v>0</v>
      </c>
      <c r="M63" s="89">
        <v>0</v>
      </c>
      <c r="N63" s="113">
        <v>0</v>
      </c>
      <c r="O63" s="741">
        <f t="shared" si="0"/>
        <v>0</v>
      </c>
      <c r="P63" s="78"/>
    </row>
    <row r="64" spans="1:16" ht="34.5" thickBot="1" x14ac:dyDescent="0.25">
      <c r="A64" s="978"/>
      <c r="B64" s="978"/>
      <c r="C64" s="84"/>
      <c r="D64" s="84"/>
      <c r="E64" s="71" t="s">
        <v>168</v>
      </c>
      <c r="F64" s="84">
        <f t="shared" si="1"/>
        <v>55</v>
      </c>
      <c r="G64" s="89">
        <f>a.4.Centralizat!H84</f>
        <v>0</v>
      </c>
      <c r="H64" s="89">
        <f>a.4.Centralizat!I84</f>
        <v>0</v>
      </c>
      <c r="I64" s="89">
        <f>a.4.Centralizat!J84</f>
        <v>0</v>
      </c>
      <c r="J64" s="89">
        <f>a.4.Centralizat!K84</f>
        <v>0</v>
      </c>
      <c r="K64" s="89">
        <f>a.4.Centralizat!L84</f>
        <v>0</v>
      </c>
      <c r="L64" s="89">
        <f>a.4.Centralizat!O84</f>
        <v>0</v>
      </c>
      <c r="M64" s="89">
        <v>0</v>
      </c>
      <c r="N64" s="113">
        <v>0</v>
      </c>
      <c r="O64" s="741">
        <f t="shared" si="0"/>
        <v>0</v>
      </c>
      <c r="P64" s="78"/>
    </row>
    <row r="65" spans="1:16" ht="12" thickBot="1" x14ac:dyDescent="0.25">
      <c r="A65" s="978"/>
      <c r="B65" s="978"/>
      <c r="C65" s="84"/>
      <c r="D65" s="84"/>
      <c r="E65" s="85" t="s">
        <v>169</v>
      </c>
      <c r="F65" s="84">
        <f t="shared" si="1"/>
        <v>56</v>
      </c>
      <c r="G65" s="89">
        <f>a.4.Centralizat!H85</f>
        <v>0</v>
      </c>
      <c r="H65" s="89">
        <f>a.4.Centralizat!I85</f>
        <v>0</v>
      </c>
      <c r="I65" s="89">
        <f>a.4.Centralizat!J85</f>
        <v>0</v>
      </c>
      <c r="J65" s="89">
        <f>a.4.Centralizat!K85</f>
        <v>0</v>
      </c>
      <c r="K65" s="89">
        <f>a.4.Centralizat!L85</f>
        <v>0</v>
      </c>
      <c r="L65" s="89">
        <f>a.4.Centralizat!O85</f>
        <v>0</v>
      </c>
      <c r="M65" s="89"/>
      <c r="N65" s="113">
        <v>0</v>
      </c>
      <c r="O65" s="741">
        <f t="shared" si="0"/>
        <v>0</v>
      </c>
      <c r="P65" s="78"/>
    </row>
    <row r="66" spans="1:16" ht="12" thickBot="1" x14ac:dyDescent="0.25">
      <c r="A66" s="978"/>
      <c r="B66" s="978"/>
      <c r="C66" s="84" t="s">
        <v>42</v>
      </c>
      <c r="D66" s="982" t="s">
        <v>433</v>
      </c>
      <c r="E66" s="983"/>
      <c r="F66" s="84">
        <f t="shared" si="1"/>
        <v>57</v>
      </c>
      <c r="G66" s="89">
        <f>a.4.Centralizat!H86</f>
        <v>375000</v>
      </c>
      <c r="H66" s="89">
        <f>a.4.Centralizat!I86</f>
        <v>85000</v>
      </c>
      <c r="I66" s="89">
        <f>a.4.Centralizat!J86</f>
        <v>93000</v>
      </c>
      <c r="J66" s="89">
        <f>a.4.Centralizat!K86</f>
        <v>103000</v>
      </c>
      <c r="K66" s="89">
        <f>a.4.Centralizat!L86</f>
        <v>94000</v>
      </c>
      <c r="L66" s="89">
        <f>a.4.Centralizat!O86</f>
        <v>207898</v>
      </c>
      <c r="M66" s="89">
        <v>381000</v>
      </c>
      <c r="N66" s="113">
        <v>375000</v>
      </c>
      <c r="O66" s="741">
        <f t="shared" si="0"/>
        <v>0</v>
      </c>
      <c r="P66" s="78"/>
    </row>
    <row r="67" spans="1:16" ht="12" thickBot="1" x14ac:dyDescent="0.25">
      <c r="A67" s="978"/>
      <c r="B67" s="978"/>
      <c r="C67" s="84"/>
      <c r="D67" s="95" t="s">
        <v>170</v>
      </c>
      <c r="E67" s="96" t="s">
        <v>236</v>
      </c>
      <c r="F67" s="84">
        <f t="shared" si="1"/>
        <v>58</v>
      </c>
      <c r="G67" s="101">
        <f>a.4.Centralizat!H87</f>
        <v>200000</v>
      </c>
      <c r="H67" s="101">
        <f>a.4.Centralizat!I87</f>
        <v>50000</v>
      </c>
      <c r="I67" s="101">
        <f>a.4.Centralizat!J87</f>
        <v>50000</v>
      </c>
      <c r="J67" s="101">
        <f>a.4.Centralizat!K87</f>
        <v>50000</v>
      </c>
      <c r="K67" s="101">
        <f>a.4.Centralizat!L87</f>
        <v>50000</v>
      </c>
      <c r="L67" s="101">
        <f>a.4.Centralizat!O87</f>
        <v>102800</v>
      </c>
      <c r="M67" s="101">
        <v>200000</v>
      </c>
      <c r="N67" s="363">
        <v>200000</v>
      </c>
      <c r="O67" s="741">
        <f t="shared" si="0"/>
        <v>0</v>
      </c>
      <c r="P67" s="78"/>
    </row>
    <row r="68" spans="1:16" ht="12" thickBot="1" x14ac:dyDescent="0.25">
      <c r="A68" s="978"/>
      <c r="B68" s="978"/>
      <c r="C68" s="84"/>
      <c r="D68" s="95" t="s">
        <v>171</v>
      </c>
      <c r="E68" s="96" t="s">
        <v>382</v>
      </c>
      <c r="F68" s="84">
        <f t="shared" si="1"/>
        <v>59</v>
      </c>
      <c r="G68" s="101">
        <f>a.4.Centralizat!H88</f>
        <v>25000</v>
      </c>
      <c r="H68" s="101">
        <f>a.4.Centralizat!I88</f>
        <v>5000</v>
      </c>
      <c r="I68" s="101">
        <f>a.4.Centralizat!J88</f>
        <v>8000</v>
      </c>
      <c r="J68" s="101">
        <f>a.4.Centralizat!K88</f>
        <v>5000</v>
      </c>
      <c r="K68" s="101">
        <f>a.4.Centralizat!L88</f>
        <v>7000</v>
      </c>
      <c r="L68" s="101">
        <f>a.4.Centralizat!O88</f>
        <v>12800</v>
      </c>
      <c r="M68" s="101">
        <v>20000</v>
      </c>
      <c r="N68" s="363">
        <v>25000</v>
      </c>
      <c r="O68" s="741">
        <f t="shared" si="0"/>
        <v>0</v>
      </c>
      <c r="P68" s="78"/>
    </row>
    <row r="69" spans="1:16" ht="12" thickBot="1" x14ac:dyDescent="0.25">
      <c r="A69" s="978"/>
      <c r="B69" s="978"/>
      <c r="C69" s="84"/>
      <c r="D69" s="95" t="s">
        <v>172</v>
      </c>
      <c r="E69" s="102" t="s">
        <v>383</v>
      </c>
      <c r="F69" s="84">
        <f t="shared" si="1"/>
        <v>60</v>
      </c>
      <c r="G69" s="101">
        <f>a.4.Centralizat!H89</f>
        <v>25000</v>
      </c>
      <c r="H69" s="101">
        <f>a.4.Centralizat!I89</f>
        <v>5000</v>
      </c>
      <c r="I69" s="101">
        <f>a.4.Centralizat!J89</f>
        <v>5000</v>
      </c>
      <c r="J69" s="101">
        <f>a.4.Centralizat!K89</f>
        <v>8000</v>
      </c>
      <c r="K69" s="101">
        <f>a.4.Centralizat!L89</f>
        <v>7000</v>
      </c>
      <c r="L69" s="101">
        <f>a.4.Centralizat!O89</f>
        <v>0</v>
      </c>
      <c r="M69" s="101">
        <v>41000</v>
      </c>
      <c r="N69" s="363">
        <v>25000</v>
      </c>
      <c r="O69" s="741">
        <f t="shared" si="0"/>
        <v>0</v>
      </c>
      <c r="P69" s="78"/>
    </row>
    <row r="70" spans="1:16" ht="12" thickBot="1" x14ac:dyDescent="0.25">
      <c r="A70" s="978"/>
      <c r="B70" s="978"/>
      <c r="C70" s="84"/>
      <c r="D70" s="95" t="s">
        <v>173</v>
      </c>
      <c r="E70" s="96" t="s">
        <v>384</v>
      </c>
      <c r="F70" s="84">
        <f t="shared" si="1"/>
        <v>61</v>
      </c>
      <c r="G70" s="101">
        <f>a.4.Centralizat!H90</f>
        <v>125000</v>
      </c>
      <c r="H70" s="101">
        <f>a.4.Centralizat!I90</f>
        <v>25000</v>
      </c>
      <c r="I70" s="101">
        <f>a.4.Centralizat!J90</f>
        <v>30000</v>
      </c>
      <c r="J70" s="101">
        <f>a.4.Centralizat!K90</f>
        <v>40000</v>
      </c>
      <c r="K70" s="101">
        <f>a.4.Centralizat!L90</f>
        <v>30000</v>
      </c>
      <c r="L70" s="101">
        <f>a.4.Centralizat!O90</f>
        <v>92298</v>
      </c>
      <c r="M70" s="101">
        <v>120000</v>
      </c>
      <c r="N70" s="363">
        <v>125000</v>
      </c>
      <c r="O70" s="741">
        <f t="shared" si="0"/>
        <v>0</v>
      </c>
      <c r="P70" s="78"/>
    </row>
    <row r="71" spans="1:16" ht="12" thickBot="1" x14ac:dyDescent="0.25">
      <c r="A71" s="978"/>
      <c r="B71" s="978"/>
      <c r="C71" s="84" t="s">
        <v>28</v>
      </c>
      <c r="D71" s="984" t="s">
        <v>174</v>
      </c>
      <c r="E71" s="985"/>
      <c r="F71" s="84">
        <f t="shared" si="1"/>
        <v>62</v>
      </c>
      <c r="G71" s="101">
        <f>a.4.Centralizat!H91</f>
        <v>900000</v>
      </c>
      <c r="H71" s="101">
        <f>a.4.Centralizat!I91</f>
        <v>200000</v>
      </c>
      <c r="I71" s="101">
        <f>a.4.Centralizat!J91</f>
        <v>200000</v>
      </c>
      <c r="J71" s="101">
        <f>a.4.Centralizat!K91</f>
        <v>250000</v>
      </c>
      <c r="K71" s="101">
        <f>a.4.Centralizat!L91</f>
        <v>250000</v>
      </c>
      <c r="L71" s="101">
        <f>a.4.Centralizat!O91</f>
        <v>892380</v>
      </c>
      <c r="M71" s="101">
        <v>1110000</v>
      </c>
      <c r="N71" s="363">
        <v>900000</v>
      </c>
      <c r="O71" s="741">
        <f t="shared" si="0"/>
        <v>0</v>
      </c>
      <c r="P71" s="78"/>
    </row>
    <row r="72" spans="1:16" ht="12" thickBot="1" x14ac:dyDescent="0.25">
      <c r="A72" s="978"/>
      <c r="B72" s="978"/>
      <c r="C72" s="84" t="s">
        <v>34</v>
      </c>
      <c r="D72" s="984" t="s">
        <v>175</v>
      </c>
      <c r="E72" s="985"/>
      <c r="F72" s="84">
        <f t="shared" si="1"/>
        <v>63</v>
      </c>
      <c r="G72" s="101">
        <f>a.4.Centralizat!H95</f>
        <v>260000</v>
      </c>
      <c r="H72" s="101">
        <f>a.4.Centralizat!I95</f>
        <v>50000</v>
      </c>
      <c r="I72" s="101">
        <f>a.4.Centralizat!J95</f>
        <v>65000</v>
      </c>
      <c r="J72" s="101">
        <f>a.4.Centralizat!K95</f>
        <v>80000</v>
      </c>
      <c r="K72" s="101">
        <f>a.4.Centralizat!L95</f>
        <v>65000</v>
      </c>
      <c r="L72" s="101">
        <f>a.4.Centralizat!O95</f>
        <v>95362</v>
      </c>
      <c r="M72" s="101">
        <v>321667.82000000007</v>
      </c>
      <c r="N72" s="363">
        <v>260000</v>
      </c>
      <c r="O72" s="741">
        <f t="shared" si="0"/>
        <v>0</v>
      </c>
      <c r="P72" s="78"/>
    </row>
    <row r="73" spans="1:16" ht="12" thickBot="1" x14ac:dyDescent="0.25">
      <c r="A73" s="978"/>
      <c r="B73" s="978"/>
      <c r="C73" s="84"/>
      <c r="D73" s="984" t="s">
        <v>467</v>
      </c>
      <c r="E73" s="985"/>
      <c r="F73" s="84">
        <f t="shared" si="1"/>
        <v>64</v>
      </c>
      <c r="G73" s="89">
        <f>a.4.Centralizat!H96</f>
        <v>120000</v>
      </c>
      <c r="H73" s="89">
        <f>a.4.Centralizat!I96</f>
        <v>25000</v>
      </c>
      <c r="I73" s="89">
        <f>a.4.Centralizat!J96</f>
        <v>35000</v>
      </c>
      <c r="J73" s="89">
        <f>a.4.Centralizat!K96</f>
        <v>30000</v>
      </c>
      <c r="K73" s="89">
        <f>a.4.Centralizat!L96</f>
        <v>30000</v>
      </c>
      <c r="L73" s="89">
        <f>a.4.Centralizat!O96</f>
        <v>53439</v>
      </c>
      <c r="M73" s="89">
        <v>89658.02</v>
      </c>
      <c r="N73" s="113">
        <v>120000</v>
      </c>
      <c r="O73" s="741">
        <f t="shared" si="0"/>
        <v>0</v>
      </c>
      <c r="P73" s="78"/>
    </row>
    <row r="74" spans="1:16" ht="12" thickBot="1" x14ac:dyDescent="0.25">
      <c r="A74" s="978"/>
      <c r="B74" s="978"/>
      <c r="C74" s="84"/>
      <c r="D74" s="1005" t="s">
        <v>385</v>
      </c>
      <c r="E74" s="1006"/>
      <c r="F74" s="84">
        <f t="shared" si="1"/>
        <v>65</v>
      </c>
      <c r="G74" s="101">
        <f>a.4.Centralizat!H97</f>
        <v>65000</v>
      </c>
      <c r="H74" s="101">
        <f>a.4.Centralizat!I97</f>
        <v>15000</v>
      </c>
      <c r="I74" s="101">
        <f>a.4.Centralizat!J97</f>
        <v>15000</v>
      </c>
      <c r="J74" s="101">
        <f>a.4.Centralizat!K97</f>
        <v>20000</v>
      </c>
      <c r="K74" s="101">
        <f>a.4.Centralizat!L97</f>
        <v>15000</v>
      </c>
      <c r="L74" s="101">
        <f>a.4.Centralizat!O97</f>
        <v>41923</v>
      </c>
      <c r="M74" s="101">
        <v>24000</v>
      </c>
      <c r="N74" s="363">
        <v>65000</v>
      </c>
      <c r="O74" s="741">
        <f t="shared" si="0"/>
        <v>0</v>
      </c>
      <c r="P74" s="78"/>
    </row>
    <row r="75" spans="1:16" ht="12" thickBot="1" x14ac:dyDescent="0.25">
      <c r="A75" s="978"/>
      <c r="B75" s="978"/>
      <c r="C75" s="84"/>
      <c r="D75" s="1005" t="s">
        <v>386</v>
      </c>
      <c r="E75" s="1006"/>
      <c r="F75" s="84">
        <f t="shared" si="1"/>
        <v>66</v>
      </c>
      <c r="G75" s="101">
        <f>a.4.Centralizat!H98</f>
        <v>55000</v>
      </c>
      <c r="H75" s="101">
        <f>a.4.Centralizat!I98</f>
        <v>10000</v>
      </c>
      <c r="I75" s="101">
        <f>a.4.Centralizat!J98</f>
        <v>20000</v>
      </c>
      <c r="J75" s="101">
        <f>a.4.Centralizat!K98</f>
        <v>10000</v>
      </c>
      <c r="K75" s="101">
        <f>a.4.Centralizat!L98</f>
        <v>15000</v>
      </c>
      <c r="L75" s="101">
        <f>a.4.Centralizat!O98</f>
        <v>11516</v>
      </c>
      <c r="M75" s="101">
        <v>65658.02</v>
      </c>
      <c r="N75" s="363">
        <v>55000</v>
      </c>
      <c r="O75" s="741">
        <f t="shared" ref="O75:O138" si="2">G75-N75</f>
        <v>0</v>
      </c>
      <c r="P75" s="78"/>
    </row>
    <row r="76" spans="1:16" ht="12" thickBot="1" x14ac:dyDescent="0.25">
      <c r="A76" s="978"/>
      <c r="B76" s="978"/>
      <c r="C76" s="84" t="s">
        <v>35</v>
      </c>
      <c r="D76" s="984" t="s">
        <v>177</v>
      </c>
      <c r="E76" s="985"/>
      <c r="F76" s="84">
        <f t="shared" ref="F76:F139" si="3">F75+1</f>
        <v>67</v>
      </c>
      <c r="G76" s="89">
        <f>a.4.Centralizat!H99</f>
        <v>296563.88</v>
      </c>
      <c r="H76" s="89">
        <f>a.4.Centralizat!I99</f>
        <v>71703.899999999994</v>
      </c>
      <c r="I76" s="89">
        <f>a.4.Centralizat!J99</f>
        <v>71579.14</v>
      </c>
      <c r="J76" s="89">
        <f>a.4.Centralizat!K99</f>
        <v>76553.84</v>
      </c>
      <c r="K76" s="89">
        <f>a.4.Centralizat!L99</f>
        <v>76727</v>
      </c>
      <c r="L76" s="89">
        <f>a.4.Centralizat!O99</f>
        <v>211518</v>
      </c>
      <c r="M76" s="89">
        <v>266064.65776959999</v>
      </c>
      <c r="N76" s="113">
        <v>296563.88</v>
      </c>
      <c r="O76" s="741">
        <f t="shared" si="2"/>
        <v>0</v>
      </c>
      <c r="P76" s="78"/>
    </row>
    <row r="77" spans="1:16" ht="12" thickBot="1" x14ac:dyDescent="0.25">
      <c r="A77" s="978"/>
      <c r="B77" s="978"/>
      <c r="C77" s="84" t="s">
        <v>178</v>
      </c>
      <c r="D77" s="984" t="s">
        <v>179</v>
      </c>
      <c r="E77" s="985"/>
      <c r="F77" s="84">
        <f t="shared" si="3"/>
        <v>68</v>
      </c>
      <c r="G77" s="89">
        <f>a.4.Centralizat!H100</f>
        <v>289390.88</v>
      </c>
      <c r="H77" s="89">
        <f>a.4.Centralizat!I100</f>
        <v>62323.08</v>
      </c>
      <c r="I77" s="89">
        <f>a.4.Centralizat!J100</f>
        <v>72377.649999999994</v>
      </c>
      <c r="J77" s="89">
        <f>a.4.Centralizat!K100</f>
        <v>72298.149999999994</v>
      </c>
      <c r="K77" s="89">
        <f>a.4.Centralizat!L100</f>
        <v>82392</v>
      </c>
      <c r="L77" s="89">
        <f>a.4.Centralizat!O100</f>
        <v>208053</v>
      </c>
      <c r="M77" s="89">
        <v>336951.99381280004</v>
      </c>
      <c r="N77" s="113">
        <v>289390.88</v>
      </c>
      <c r="O77" s="741">
        <f t="shared" si="2"/>
        <v>0</v>
      </c>
      <c r="P77" s="78"/>
    </row>
    <row r="78" spans="1:16" ht="12" thickBot="1" x14ac:dyDescent="0.25">
      <c r="A78" s="978"/>
      <c r="B78" s="978"/>
      <c r="C78" s="84" t="s">
        <v>180</v>
      </c>
      <c r="D78" s="982" t="s">
        <v>181</v>
      </c>
      <c r="E78" s="983"/>
      <c r="F78" s="84">
        <f t="shared" si="3"/>
        <v>69</v>
      </c>
      <c r="G78" s="89">
        <f>a.4.Centralizat!H101</f>
        <v>2117852.65</v>
      </c>
      <c r="H78" s="89">
        <f>a.4.Centralizat!I101</f>
        <v>469444.03</v>
      </c>
      <c r="I78" s="89">
        <f>a.4.Centralizat!J101</f>
        <v>504215.43</v>
      </c>
      <c r="J78" s="89">
        <f>a.4.Centralizat!K101</f>
        <v>576596.52</v>
      </c>
      <c r="K78" s="89">
        <f>a.4.Centralizat!L101</f>
        <v>567596.67000000004</v>
      </c>
      <c r="L78" s="89">
        <f>a.4.Centralizat!O101</f>
        <v>1390323</v>
      </c>
      <c r="M78" s="89">
        <v>2190275.9192039999</v>
      </c>
      <c r="N78" s="113">
        <v>2117852.65</v>
      </c>
      <c r="O78" s="741">
        <f t="shared" si="2"/>
        <v>0</v>
      </c>
      <c r="P78" s="78"/>
    </row>
    <row r="79" spans="1:16" ht="12" thickBot="1" x14ac:dyDescent="0.25">
      <c r="A79" s="978"/>
      <c r="B79" s="978"/>
      <c r="C79" s="84"/>
      <c r="D79" s="84" t="s">
        <v>56</v>
      </c>
      <c r="E79" s="85" t="s">
        <v>182</v>
      </c>
      <c r="F79" s="84">
        <f t="shared" si="3"/>
        <v>70</v>
      </c>
      <c r="G79" s="89">
        <f>a.4.Centralizat!H102</f>
        <v>910000</v>
      </c>
      <c r="H79" s="89">
        <f>a.4.Centralizat!I102</f>
        <v>225000</v>
      </c>
      <c r="I79" s="89">
        <f>a.4.Centralizat!J102</f>
        <v>225000</v>
      </c>
      <c r="J79" s="89">
        <f>a.4.Centralizat!K102</f>
        <v>230000</v>
      </c>
      <c r="K79" s="89">
        <f>a.4.Centralizat!L102</f>
        <v>230000</v>
      </c>
      <c r="L79" s="89">
        <f>a.4.Centralizat!O102</f>
        <v>590000</v>
      </c>
      <c r="M79" s="89">
        <v>600000</v>
      </c>
      <c r="N79" s="113">
        <v>910000</v>
      </c>
      <c r="O79" s="741">
        <f t="shared" si="2"/>
        <v>0</v>
      </c>
      <c r="P79" s="78"/>
    </row>
    <row r="80" spans="1:16" ht="12" thickBot="1" x14ac:dyDescent="0.25">
      <c r="A80" s="978"/>
      <c r="B80" s="978"/>
      <c r="C80" s="84"/>
      <c r="D80" s="84" t="s">
        <v>57</v>
      </c>
      <c r="E80" s="71" t="s">
        <v>229</v>
      </c>
      <c r="F80" s="84">
        <f t="shared" si="3"/>
        <v>71</v>
      </c>
      <c r="G80" s="89">
        <f>a.4.Centralizat!H103</f>
        <v>375500</v>
      </c>
      <c r="H80" s="89">
        <f>a.4.Centralizat!I103</f>
        <v>50125</v>
      </c>
      <c r="I80" s="89">
        <f>a.4.Centralizat!J103</f>
        <v>75125</v>
      </c>
      <c r="J80" s="89">
        <f>a.4.Centralizat!K103</f>
        <v>100125</v>
      </c>
      <c r="K80" s="89">
        <f>a.4.Centralizat!L103</f>
        <v>150125</v>
      </c>
      <c r="L80" s="89">
        <f>a.4.Centralizat!O103</f>
        <v>81960</v>
      </c>
      <c r="M80" s="89">
        <v>450287</v>
      </c>
      <c r="N80" s="113">
        <v>375500</v>
      </c>
      <c r="O80" s="741">
        <f t="shared" si="2"/>
        <v>0</v>
      </c>
      <c r="P80" s="78"/>
    </row>
    <row r="81" spans="1:16" ht="12" thickBot="1" x14ac:dyDescent="0.25">
      <c r="A81" s="978"/>
      <c r="B81" s="978"/>
      <c r="C81" s="84"/>
      <c r="D81" s="84" t="s">
        <v>58</v>
      </c>
      <c r="E81" s="85" t="s">
        <v>183</v>
      </c>
      <c r="F81" s="84">
        <f t="shared" si="3"/>
        <v>72</v>
      </c>
      <c r="G81" s="89">
        <f>a.4.Centralizat!H104</f>
        <v>312596.68</v>
      </c>
      <c r="H81" s="89">
        <f>a.4.Centralizat!I104</f>
        <v>50641.67</v>
      </c>
      <c r="I81" s="89">
        <f>a.4.Centralizat!J104</f>
        <v>60641.67</v>
      </c>
      <c r="J81" s="89">
        <f>a.4.Centralizat!K104</f>
        <v>100656.67</v>
      </c>
      <c r="K81" s="89">
        <f>a.4.Centralizat!L104</f>
        <v>100656.67</v>
      </c>
      <c r="L81" s="89">
        <f>a.4.Centralizat!O104</f>
        <v>84423</v>
      </c>
      <c r="M81" s="89">
        <v>180179.9395264</v>
      </c>
      <c r="N81" s="113">
        <v>312596.68</v>
      </c>
      <c r="O81" s="741">
        <f t="shared" si="2"/>
        <v>0</v>
      </c>
      <c r="P81" s="78"/>
    </row>
    <row r="82" spans="1:16" ht="23.25" thickBot="1" x14ac:dyDescent="0.25">
      <c r="A82" s="978"/>
      <c r="B82" s="978"/>
      <c r="C82" s="84"/>
      <c r="D82" s="84" t="s">
        <v>59</v>
      </c>
      <c r="E82" s="71" t="s">
        <v>184</v>
      </c>
      <c r="F82" s="84">
        <f t="shared" si="3"/>
        <v>73</v>
      </c>
      <c r="G82" s="89">
        <f>a.4.Centralizat!H105</f>
        <v>0</v>
      </c>
      <c r="H82" s="89">
        <f>a.4.Centralizat!I105</f>
        <v>0</v>
      </c>
      <c r="I82" s="89">
        <f>a.4.Centralizat!J105</f>
        <v>0</v>
      </c>
      <c r="J82" s="89">
        <f>a.4.Centralizat!K105</f>
        <v>0</v>
      </c>
      <c r="K82" s="89">
        <f>a.4.Centralizat!L105</f>
        <v>0</v>
      </c>
      <c r="L82" s="89">
        <f>a.4.Centralizat!O105</f>
        <v>0</v>
      </c>
      <c r="M82" s="89">
        <v>113000</v>
      </c>
      <c r="N82" s="113">
        <v>0</v>
      </c>
      <c r="O82" s="741">
        <f t="shared" si="2"/>
        <v>0</v>
      </c>
      <c r="P82" s="78"/>
    </row>
    <row r="83" spans="1:16" ht="12" thickBot="1" x14ac:dyDescent="0.25">
      <c r="A83" s="978"/>
      <c r="B83" s="978"/>
      <c r="C83" s="84"/>
      <c r="D83" s="84"/>
      <c r="E83" s="85" t="s">
        <v>387</v>
      </c>
      <c r="F83" s="84">
        <f t="shared" si="3"/>
        <v>74</v>
      </c>
      <c r="G83" s="89">
        <f>a.4.Centralizat!H106</f>
        <v>0</v>
      </c>
      <c r="H83" s="89">
        <f>a.4.Centralizat!I106</f>
        <v>0</v>
      </c>
      <c r="I83" s="89">
        <f>a.4.Centralizat!J106</f>
        <v>0</v>
      </c>
      <c r="J83" s="89">
        <f>a.4.Centralizat!K106</f>
        <v>0</v>
      </c>
      <c r="K83" s="89">
        <f>a.4.Centralizat!L106</f>
        <v>0</v>
      </c>
      <c r="L83" s="89">
        <f>a.4.Centralizat!O106</f>
        <v>0</v>
      </c>
      <c r="M83" s="89">
        <v>90000</v>
      </c>
      <c r="N83" s="113">
        <v>0</v>
      </c>
      <c r="O83" s="741">
        <f t="shared" si="2"/>
        <v>0</v>
      </c>
      <c r="P83" s="78"/>
    </row>
    <row r="84" spans="1:16" ht="12" thickBot="1" x14ac:dyDescent="0.25">
      <c r="A84" s="978"/>
      <c r="B84" s="978"/>
      <c r="C84" s="84"/>
      <c r="D84" s="84" t="s">
        <v>60</v>
      </c>
      <c r="E84" s="85" t="s">
        <v>545</v>
      </c>
      <c r="F84" s="84">
        <f t="shared" si="3"/>
        <v>75</v>
      </c>
      <c r="G84" s="89">
        <f>a.4.Centralizat!H107</f>
        <v>511755.97</v>
      </c>
      <c r="H84" s="89">
        <f>a.4.Centralizat!I107</f>
        <v>141677.35999999999</v>
      </c>
      <c r="I84" s="89">
        <f>a.4.Centralizat!J107</f>
        <v>141448.76</v>
      </c>
      <c r="J84" s="89">
        <f>a.4.Centralizat!K107</f>
        <v>143814.85</v>
      </c>
      <c r="K84" s="89">
        <f>a.4.Centralizat!L107</f>
        <v>84815</v>
      </c>
      <c r="L84" s="89">
        <f>a.4.Centralizat!O107</f>
        <v>622690</v>
      </c>
      <c r="M84" s="89">
        <v>731808.97967760009</v>
      </c>
      <c r="N84" s="113">
        <v>511755.97</v>
      </c>
      <c r="O84" s="741">
        <f t="shared" si="2"/>
        <v>0</v>
      </c>
      <c r="P84" s="78"/>
    </row>
    <row r="85" spans="1:16" ht="34.5" thickBot="1" x14ac:dyDescent="0.25">
      <c r="A85" s="978"/>
      <c r="B85" s="978"/>
      <c r="C85" s="84"/>
      <c r="D85" s="84" t="s">
        <v>61</v>
      </c>
      <c r="E85" s="71" t="s">
        <v>185</v>
      </c>
      <c r="F85" s="84">
        <f t="shared" si="3"/>
        <v>76</v>
      </c>
      <c r="G85" s="242">
        <f>a.4.Centralizat!H108</f>
        <v>0</v>
      </c>
      <c r="H85" s="242">
        <f>a.4.Centralizat!I108</f>
        <v>0</v>
      </c>
      <c r="I85" s="242">
        <f>a.4.Centralizat!J108</f>
        <v>0</v>
      </c>
      <c r="J85" s="242">
        <f>a.4.Centralizat!K108</f>
        <v>0</v>
      </c>
      <c r="K85" s="242">
        <f>a.4.Centralizat!L108</f>
        <v>0</v>
      </c>
      <c r="L85" s="242">
        <f>a.4.Centralizat!O108</f>
        <v>0</v>
      </c>
      <c r="M85" s="242">
        <v>100000</v>
      </c>
      <c r="N85" s="694">
        <v>0</v>
      </c>
      <c r="O85" s="741">
        <f t="shared" si="2"/>
        <v>0</v>
      </c>
      <c r="P85" s="78"/>
    </row>
    <row r="86" spans="1:16" ht="12" thickBot="1" x14ac:dyDescent="0.25">
      <c r="A86" s="978"/>
      <c r="B86" s="978"/>
      <c r="C86" s="84"/>
      <c r="D86" s="84" t="s">
        <v>62</v>
      </c>
      <c r="E86" s="71" t="s">
        <v>186</v>
      </c>
      <c r="F86" s="84">
        <f t="shared" si="3"/>
        <v>77</v>
      </c>
      <c r="G86" s="89">
        <f>a.4.Centralizat!H109</f>
        <v>8000</v>
      </c>
      <c r="H86" s="89">
        <f>a.4.Centralizat!I109</f>
        <v>2000</v>
      </c>
      <c r="I86" s="89">
        <f>a.4.Centralizat!J109</f>
        <v>2000</v>
      </c>
      <c r="J86" s="89">
        <f>a.4.Centralizat!K109</f>
        <v>2000</v>
      </c>
      <c r="K86" s="89">
        <f>a.4.Centralizat!L109</f>
        <v>2000</v>
      </c>
      <c r="L86" s="89">
        <f>a.4.Centralizat!O109</f>
        <v>11250</v>
      </c>
      <c r="M86" s="89">
        <v>15000</v>
      </c>
      <c r="N86" s="113">
        <v>8000</v>
      </c>
      <c r="O86" s="741">
        <f t="shared" si="2"/>
        <v>0</v>
      </c>
      <c r="P86" s="78"/>
    </row>
    <row r="87" spans="1:16" ht="12" thickBot="1" x14ac:dyDescent="0.25">
      <c r="A87" s="978"/>
      <c r="B87" s="978"/>
      <c r="C87" s="84" t="s">
        <v>344</v>
      </c>
      <c r="D87" s="980" t="s">
        <v>149</v>
      </c>
      <c r="E87" s="981"/>
      <c r="F87" s="84">
        <f t="shared" si="3"/>
        <v>78</v>
      </c>
      <c r="G87" s="89">
        <f>a.4.Centralizat!H110</f>
        <v>4132197.19</v>
      </c>
      <c r="H87" s="89">
        <f>a.4.Centralizat!I110</f>
        <v>771877.39</v>
      </c>
      <c r="I87" s="89">
        <f>a.4.Centralizat!J110</f>
        <v>916323.98</v>
      </c>
      <c r="J87" s="89">
        <f>a.4.Centralizat!K110</f>
        <v>1250269.82</v>
      </c>
      <c r="K87" s="89">
        <f>a.4.Centralizat!L110</f>
        <v>1193726</v>
      </c>
      <c r="L87" s="89">
        <f>a.4.Centralizat!O110</f>
        <v>3344629</v>
      </c>
      <c r="M87" s="89">
        <v>3315481.6007335996</v>
      </c>
      <c r="N87" s="113">
        <v>3817197.19</v>
      </c>
      <c r="O87" s="741">
        <f t="shared" si="2"/>
        <v>315000</v>
      </c>
      <c r="P87" s="78"/>
    </row>
    <row r="88" spans="1:16" ht="29.25" customHeight="1" thickBot="1" x14ac:dyDescent="0.25">
      <c r="A88" s="978"/>
      <c r="B88" s="978"/>
      <c r="C88" s="989" t="s">
        <v>468</v>
      </c>
      <c r="D88" s="990"/>
      <c r="E88" s="991"/>
      <c r="F88" s="97">
        <f t="shared" si="3"/>
        <v>79</v>
      </c>
      <c r="G88" s="98">
        <f>a.4.Centralizat!H115</f>
        <v>13805724.49</v>
      </c>
      <c r="H88" s="98">
        <f>a.4.Centralizat!I115</f>
        <v>2056887.04</v>
      </c>
      <c r="I88" s="98">
        <f>a.4.Centralizat!J115</f>
        <v>2068709.26</v>
      </c>
      <c r="J88" s="98">
        <f>a.4.Centralizat!K115</f>
        <v>4844509.53</v>
      </c>
      <c r="K88" s="98">
        <f>a.4.Centralizat!L115</f>
        <v>4835618.66</v>
      </c>
      <c r="L88" s="98">
        <f>a.4.Centralizat!O115</f>
        <v>7611587</v>
      </c>
      <c r="M88" s="98">
        <v>8857357.4429902006</v>
      </c>
      <c r="N88" s="361">
        <v>8441557.4900000002</v>
      </c>
      <c r="O88" s="741">
        <f t="shared" si="2"/>
        <v>5364167</v>
      </c>
      <c r="P88" s="78"/>
    </row>
    <row r="89" spans="1:16" ht="12" thickBot="1" x14ac:dyDescent="0.25">
      <c r="A89" s="978"/>
      <c r="B89" s="978"/>
      <c r="C89" s="84" t="s">
        <v>27</v>
      </c>
      <c r="D89" s="973" t="s">
        <v>188</v>
      </c>
      <c r="E89" s="974"/>
      <c r="F89" s="84">
        <f t="shared" si="3"/>
        <v>80</v>
      </c>
      <c r="G89" s="89">
        <f>a.4.Centralizat!H116</f>
        <v>0</v>
      </c>
      <c r="H89" s="89">
        <f>a.4.Centralizat!I116</f>
        <v>0</v>
      </c>
      <c r="I89" s="89">
        <f>a.4.Centralizat!J116</f>
        <v>0</v>
      </c>
      <c r="J89" s="89">
        <f>a.4.Centralizat!K116</f>
        <v>0</v>
      </c>
      <c r="K89" s="89">
        <f>a.4.Centralizat!L116</f>
        <v>0</v>
      </c>
      <c r="L89" s="89">
        <f>a.4.Centralizat!O116</f>
        <v>0</v>
      </c>
      <c r="M89" s="89">
        <v>0</v>
      </c>
      <c r="N89" s="113">
        <v>0</v>
      </c>
      <c r="O89" s="741">
        <f t="shared" si="2"/>
        <v>0</v>
      </c>
      <c r="P89" s="78"/>
    </row>
    <row r="90" spans="1:16" ht="12" thickBot="1" x14ac:dyDescent="0.25">
      <c r="A90" s="978"/>
      <c r="B90" s="978"/>
      <c r="C90" s="84" t="s">
        <v>38</v>
      </c>
      <c r="D90" s="973" t="s">
        <v>388</v>
      </c>
      <c r="E90" s="974"/>
      <c r="F90" s="84">
        <f t="shared" si="3"/>
        <v>81</v>
      </c>
      <c r="G90" s="89">
        <f>a.4.Centralizat!H117</f>
        <v>10700000</v>
      </c>
      <c r="H90" s="89">
        <f>a.4.Centralizat!I117</f>
        <v>1330000</v>
      </c>
      <c r="I90" s="89">
        <f>a.4.Centralizat!J117</f>
        <v>1335833</v>
      </c>
      <c r="J90" s="89">
        <f>a.4.Centralizat!K117</f>
        <v>4035000</v>
      </c>
      <c r="K90" s="89">
        <f>a.4.Centralizat!L117</f>
        <v>3999167</v>
      </c>
      <c r="L90" s="89">
        <f>a.4.Centralizat!O117</f>
        <v>5326668</v>
      </c>
      <c r="M90" s="89">
        <v>6185354.4865260003</v>
      </c>
      <c r="N90" s="113">
        <v>5335833</v>
      </c>
      <c r="O90" s="741">
        <f t="shared" si="2"/>
        <v>5364167</v>
      </c>
      <c r="P90" s="78"/>
    </row>
    <row r="91" spans="1:16" ht="12" thickBot="1" x14ac:dyDescent="0.25">
      <c r="A91" s="978"/>
      <c r="B91" s="978"/>
      <c r="C91" s="84" t="s">
        <v>40</v>
      </c>
      <c r="D91" s="984" t="s">
        <v>41</v>
      </c>
      <c r="E91" s="985"/>
      <c r="F91" s="84">
        <f t="shared" si="3"/>
        <v>82</v>
      </c>
      <c r="G91" s="89">
        <f>a.4.Centralizat!H118</f>
        <v>40000</v>
      </c>
      <c r="H91" s="89">
        <f>a.4.Centralizat!I118</f>
        <v>10000</v>
      </c>
      <c r="I91" s="89">
        <f>a.4.Centralizat!J118</f>
        <v>10000</v>
      </c>
      <c r="J91" s="89">
        <f>a.4.Centralizat!K118</f>
        <v>10000</v>
      </c>
      <c r="K91" s="89">
        <f>a.4.Centralizat!L118</f>
        <v>10000</v>
      </c>
      <c r="L91" s="89">
        <f>a.4.Centralizat!O118</f>
        <v>24450</v>
      </c>
      <c r="M91" s="89">
        <v>25000</v>
      </c>
      <c r="N91" s="113">
        <v>40000</v>
      </c>
      <c r="O91" s="741">
        <f t="shared" si="2"/>
        <v>0</v>
      </c>
      <c r="P91" s="78"/>
    </row>
    <row r="92" spans="1:16" ht="12" thickBot="1" x14ac:dyDescent="0.25">
      <c r="A92" s="978"/>
      <c r="B92" s="978"/>
      <c r="C92" s="84" t="s">
        <v>42</v>
      </c>
      <c r="D92" s="984" t="s">
        <v>43</v>
      </c>
      <c r="E92" s="985"/>
      <c r="F92" s="84">
        <f t="shared" si="3"/>
        <v>83</v>
      </c>
      <c r="G92" s="89">
        <f>a.4.Centralizat!H119</f>
        <v>83317.38</v>
      </c>
      <c r="H92" s="89">
        <f>a.4.Centralizat!I119</f>
        <v>21392.38</v>
      </c>
      <c r="I92" s="89">
        <f>a.4.Centralizat!J119</f>
        <v>19225</v>
      </c>
      <c r="J92" s="89">
        <f>a.4.Centralizat!K119</f>
        <v>20575</v>
      </c>
      <c r="K92" s="89">
        <f>a.4.Centralizat!L119</f>
        <v>22125</v>
      </c>
      <c r="L92" s="89">
        <f>a.4.Centralizat!O119</f>
        <v>81473</v>
      </c>
      <c r="M92" s="89">
        <v>123655.5930048</v>
      </c>
      <c r="N92" s="113">
        <v>83317.38</v>
      </c>
      <c r="O92" s="741">
        <f t="shared" si="2"/>
        <v>0</v>
      </c>
      <c r="P92" s="78"/>
    </row>
    <row r="93" spans="1:16" ht="12" thickBot="1" x14ac:dyDescent="0.25">
      <c r="A93" s="977"/>
      <c r="B93" s="977"/>
      <c r="C93" s="84" t="s">
        <v>28</v>
      </c>
      <c r="D93" s="984" t="s">
        <v>44</v>
      </c>
      <c r="E93" s="985"/>
      <c r="F93" s="84">
        <f t="shared" si="3"/>
        <v>84</v>
      </c>
      <c r="G93" s="89">
        <f>a.4.Centralizat!H120</f>
        <v>6000</v>
      </c>
      <c r="H93" s="89">
        <f>a.4.Centralizat!I120</f>
        <v>2000</v>
      </c>
      <c r="I93" s="89">
        <f>a.4.Centralizat!J120</f>
        <v>1000</v>
      </c>
      <c r="J93" s="89">
        <f>a.4.Centralizat!K120</f>
        <v>1000</v>
      </c>
      <c r="K93" s="89">
        <f>a.4.Centralizat!L120</f>
        <v>2000</v>
      </c>
      <c r="L93" s="89">
        <f>a.4.Centralizat!O120</f>
        <v>750</v>
      </c>
      <c r="M93" s="89">
        <v>5000</v>
      </c>
      <c r="N93" s="113">
        <v>6000</v>
      </c>
      <c r="O93" s="741">
        <f t="shared" si="2"/>
        <v>0</v>
      </c>
      <c r="P93" s="78"/>
    </row>
    <row r="94" spans="1:16" ht="12" thickBot="1" x14ac:dyDescent="0.25">
      <c r="A94" s="978"/>
      <c r="B94" s="978"/>
      <c r="C94" s="84" t="s">
        <v>34</v>
      </c>
      <c r="D94" s="984" t="s">
        <v>45</v>
      </c>
      <c r="E94" s="985"/>
      <c r="F94" s="84">
        <f t="shared" si="3"/>
        <v>85</v>
      </c>
      <c r="G94" s="89">
        <f>a.4.Centralizat!H121</f>
        <v>2976407.11</v>
      </c>
      <c r="H94" s="89">
        <f>a.4.Centralizat!I121</f>
        <v>693494.66</v>
      </c>
      <c r="I94" s="89">
        <f>a.4.Centralizat!J121</f>
        <v>702651.26</v>
      </c>
      <c r="J94" s="89">
        <f>a.4.Centralizat!K121</f>
        <v>777934.53</v>
      </c>
      <c r="K94" s="89">
        <f>a.4.Centralizat!L121</f>
        <v>802326.66</v>
      </c>
      <c r="L94" s="89">
        <f>a.4.Centralizat!O121</f>
        <v>2178246</v>
      </c>
      <c r="M94" s="89">
        <v>2518347.3634593999</v>
      </c>
      <c r="N94" s="113">
        <v>2976407.11</v>
      </c>
      <c r="O94" s="741">
        <f t="shared" si="2"/>
        <v>0</v>
      </c>
      <c r="P94" s="78"/>
    </row>
    <row r="95" spans="1:16" ht="21" customHeight="1" thickBot="1" x14ac:dyDescent="0.25">
      <c r="A95" s="978"/>
      <c r="B95" s="978"/>
      <c r="C95" s="989" t="s">
        <v>474</v>
      </c>
      <c r="D95" s="990"/>
      <c r="E95" s="991"/>
      <c r="F95" s="97">
        <f t="shared" si="3"/>
        <v>86</v>
      </c>
      <c r="G95" s="255">
        <f>a.4.Centralizat!H131</f>
        <v>46664439.328879997</v>
      </c>
      <c r="H95" s="255">
        <f>a.4.Centralizat!I131</f>
        <v>9915835.8945199978</v>
      </c>
      <c r="I95" s="255">
        <f>a.4.Centralizat!J131</f>
        <v>14137747.13534</v>
      </c>
      <c r="J95" s="255">
        <f>a.4.Centralizat!K131</f>
        <v>10649609.98608</v>
      </c>
      <c r="K95" s="255">
        <f>a.4.Centralizat!L131</f>
        <v>11961246.31294</v>
      </c>
      <c r="L95" s="255">
        <f>a.4.Centralizat!O131</f>
        <v>44830120.634520002</v>
      </c>
      <c r="M95" s="255">
        <v>45930056.912022002</v>
      </c>
      <c r="N95" s="737">
        <v>46664439.328879997</v>
      </c>
      <c r="O95" s="741">
        <f t="shared" si="2"/>
        <v>0</v>
      </c>
      <c r="P95" s="78"/>
    </row>
    <row r="96" spans="1:16" ht="12" thickBot="1" x14ac:dyDescent="0.25">
      <c r="A96" s="978"/>
      <c r="B96" s="978"/>
      <c r="C96" s="103" t="s">
        <v>396</v>
      </c>
      <c r="D96" s="992" t="s">
        <v>413</v>
      </c>
      <c r="E96" s="993"/>
      <c r="F96" s="308">
        <f t="shared" si="3"/>
        <v>87</v>
      </c>
      <c r="G96" s="309">
        <f>a.4.Centralizat!H132</f>
        <v>37486212</v>
      </c>
      <c r="H96" s="309">
        <f>a.4.Centralizat!I132</f>
        <v>7944947</v>
      </c>
      <c r="I96" s="309">
        <f>a.4.Centralizat!J132</f>
        <v>11369711</v>
      </c>
      <c r="J96" s="309">
        <f>a.4.Centralizat!K132</f>
        <v>8533784</v>
      </c>
      <c r="K96" s="309">
        <f>a.4.Centralizat!L132</f>
        <v>9637770</v>
      </c>
      <c r="L96" s="309">
        <f>a.4.Centralizat!O132</f>
        <v>35335886</v>
      </c>
      <c r="M96" s="309">
        <v>35737223.402800001</v>
      </c>
      <c r="N96" s="364">
        <v>37486212</v>
      </c>
      <c r="O96" s="741">
        <f t="shared" si="2"/>
        <v>0</v>
      </c>
      <c r="P96" s="78"/>
    </row>
    <row r="97" spans="1:16" ht="12" thickBot="1" x14ac:dyDescent="0.25">
      <c r="A97" s="978"/>
      <c r="B97" s="978"/>
      <c r="C97" s="308" t="s">
        <v>46</v>
      </c>
      <c r="D97" s="994" t="s">
        <v>189</v>
      </c>
      <c r="E97" s="995"/>
      <c r="F97" s="308">
        <f t="shared" si="3"/>
        <v>88</v>
      </c>
      <c r="G97" s="309">
        <f>a.4.Centralizat!H133</f>
        <v>32620337</v>
      </c>
      <c r="H97" s="309">
        <f>a.4.Centralizat!I133</f>
        <v>7454673</v>
      </c>
      <c r="I97" s="309">
        <f>a.4.Centralizat!J133</f>
        <v>8091136</v>
      </c>
      <c r="J97" s="309">
        <f>a.4.Centralizat!K133</f>
        <v>8068127</v>
      </c>
      <c r="K97" s="309">
        <f>a.4.Centralizat!L133</f>
        <v>9006401</v>
      </c>
      <c r="L97" s="309">
        <f>a.4.Centralizat!O133</f>
        <v>30813978</v>
      </c>
      <c r="M97" s="309">
        <v>30821399.634</v>
      </c>
      <c r="N97" s="364">
        <v>32620337</v>
      </c>
      <c r="O97" s="741">
        <f t="shared" si="2"/>
        <v>0</v>
      </c>
      <c r="P97" s="78"/>
    </row>
    <row r="98" spans="1:16" ht="12" thickBot="1" x14ac:dyDescent="0.25">
      <c r="A98" s="978"/>
      <c r="B98" s="978"/>
      <c r="C98" s="977"/>
      <c r="D98" s="984" t="s">
        <v>190</v>
      </c>
      <c r="E98" s="985"/>
      <c r="F98" s="84">
        <f t="shared" si="3"/>
        <v>89</v>
      </c>
      <c r="G98" s="101">
        <f>a.4.Centralizat!H134</f>
        <v>28053832</v>
      </c>
      <c r="H98" s="101">
        <f>a.4.Centralizat!I134</f>
        <v>6883540</v>
      </c>
      <c r="I98" s="101">
        <f>a.4.Centralizat!J134</f>
        <v>6953490</v>
      </c>
      <c r="J98" s="101">
        <f>a.4.Centralizat!K134</f>
        <v>7006950</v>
      </c>
      <c r="K98" s="101">
        <f>a.4.Centralizat!L134</f>
        <v>7209852</v>
      </c>
      <c r="L98" s="101">
        <f>a.4.Centralizat!O134</f>
        <v>25159266</v>
      </c>
      <c r="M98" s="101">
        <v>26657445.100000001</v>
      </c>
      <c r="N98" s="363">
        <v>28053832</v>
      </c>
      <c r="O98" s="741">
        <f t="shared" si="2"/>
        <v>0</v>
      </c>
      <c r="P98" s="78"/>
    </row>
    <row r="99" spans="1:16" ht="12" thickBot="1" x14ac:dyDescent="0.25">
      <c r="A99" s="978"/>
      <c r="B99" s="978"/>
      <c r="C99" s="978"/>
      <c r="D99" s="973" t="s">
        <v>191</v>
      </c>
      <c r="E99" s="974"/>
      <c r="F99" s="84">
        <f t="shared" si="3"/>
        <v>90</v>
      </c>
      <c r="G99" s="101">
        <f>a.4.Centralizat!H135</f>
        <v>1438572</v>
      </c>
      <c r="H99" s="101">
        <f>a.4.Centralizat!I135</f>
        <v>352762</v>
      </c>
      <c r="I99" s="101">
        <f>a.4.Centralizat!J135</f>
        <v>356846</v>
      </c>
      <c r="J99" s="101">
        <f>a.4.Centralizat!K135</f>
        <v>359382</v>
      </c>
      <c r="K99" s="101">
        <f>a.4.Centralizat!L135</f>
        <v>369582</v>
      </c>
      <c r="L99" s="101">
        <f>a.4.Centralizat!O135</f>
        <v>1294545</v>
      </c>
      <c r="M99" s="101">
        <v>1383312.6539999999</v>
      </c>
      <c r="N99" s="363">
        <v>1438572</v>
      </c>
      <c r="O99" s="741">
        <f t="shared" si="2"/>
        <v>0</v>
      </c>
      <c r="P99" s="78"/>
    </row>
    <row r="100" spans="1:16" ht="12" thickBot="1" x14ac:dyDescent="0.25">
      <c r="A100" s="978"/>
      <c r="B100" s="978"/>
      <c r="C100" s="979"/>
      <c r="D100" s="984" t="s">
        <v>192</v>
      </c>
      <c r="E100" s="985"/>
      <c r="F100" s="84">
        <f t="shared" si="3"/>
        <v>91</v>
      </c>
      <c r="G100" s="101">
        <f>a.4.Centralizat!H136</f>
        <v>3127933</v>
      </c>
      <c r="H100" s="101">
        <f>a.4.Centralizat!I136</f>
        <v>218371</v>
      </c>
      <c r="I100" s="101">
        <f>a.4.Centralizat!J136</f>
        <v>780800</v>
      </c>
      <c r="J100" s="101">
        <f>a.4.Centralizat!K136</f>
        <v>701795</v>
      </c>
      <c r="K100" s="101">
        <f>a.4.Centralizat!L136</f>
        <v>1426967</v>
      </c>
      <c r="L100" s="101">
        <f>a.4.Centralizat!O136</f>
        <v>4360167</v>
      </c>
      <c r="M100" s="101">
        <v>2780641.88</v>
      </c>
      <c r="N100" s="363">
        <v>3127933</v>
      </c>
      <c r="O100" s="741">
        <f t="shared" si="2"/>
        <v>0</v>
      </c>
      <c r="P100" s="78"/>
    </row>
    <row r="101" spans="1:16" ht="12" thickBot="1" x14ac:dyDescent="0.25">
      <c r="A101" s="978"/>
      <c r="B101" s="978"/>
      <c r="C101" s="97" t="s">
        <v>67</v>
      </c>
      <c r="D101" s="989" t="s">
        <v>389</v>
      </c>
      <c r="E101" s="991"/>
      <c r="F101" s="97">
        <f t="shared" si="3"/>
        <v>92</v>
      </c>
      <c r="G101" s="98">
        <f>a.4.Centralizat!H137</f>
        <v>4865875</v>
      </c>
      <c r="H101" s="98">
        <f>a.4.Centralizat!I137</f>
        <v>490274</v>
      </c>
      <c r="I101" s="98">
        <f>a.4.Centralizat!J137</f>
        <v>3278575</v>
      </c>
      <c r="J101" s="98">
        <f>a.4.Centralizat!K137</f>
        <v>465657</v>
      </c>
      <c r="K101" s="98">
        <f>a.4.Centralizat!L137</f>
        <v>631369</v>
      </c>
      <c r="L101" s="98">
        <f>a.4.Centralizat!O137</f>
        <v>4521908</v>
      </c>
      <c r="M101" s="98">
        <v>4915823.7687999997</v>
      </c>
      <c r="N101" s="361">
        <v>4865875</v>
      </c>
      <c r="O101" s="741">
        <f t="shared" si="2"/>
        <v>0</v>
      </c>
      <c r="P101" s="78"/>
    </row>
    <row r="102" spans="1:16" ht="12" thickBot="1" x14ac:dyDescent="0.25">
      <c r="A102" s="978"/>
      <c r="B102" s="978"/>
      <c r="C102" s="84"/>
      <c r="D102" s="982" t="s">
        <v>187</v>
      </c>
      <c r="E102" s="983"/>
      <c r="F102" s="84">
        <f t="shared" si="3"/>
        <v>93</v>
      </c>
      <c r="G102" s="89">
        <f>a.4.Centralizat!H138</f>
        <v>604900</v>
      </c>
      <c r="H102" s="89">
        <f>a.4.Centralizat!I138</f>
        <v>41100</v>
      </c>
      <c r="I102" s="89">
        <f>a.4.Centralizat!J138</f>
        <v>425000</v>
      </c>
      <c r="J102" s="89">
        <f>a.4.Centralizat!K138</f>
        <v>69900</v>
      </c>
      <c r="K102" s="89">
        <f>a.4.Centralizat!L138</f>
        <v>68900</v>
      </c>
      <c r="L102" s="89">
        <f>a.4.Centralizat!O138</f>
        <v>622136</v>
      </c>
      <c r="M102" s="89">
        <v>609002.71879999992</v>
      </c>
      <c r="N102" s="113">
        <v>604900</v>
      </c>
      <c r="O102" s="741">
        <f t="shared" si="2"/>
        <v>0</v>
      </c>
      <c r="P102" s="78"/>
    </row>
    <row r="103" spans="1:16" ht="23.25" thickBot="1" x14ac:dyDescent="0.25">
      <c r="A103" s="978"/>
      <c r="B103" s="978"/>
      <c r="C103" s="84"/>
      <c r="D103" s="84"/>
      <c r="E103" s="71" t="s">
        <v>193</v>
      </c>
      <c r="F103" s="84">
        <f t="shared" si="3"/>
        <v>94</v>
      </c>
      <c r="G103" s="89">
        <f>a.4.Centralizat!H139</f>
        <v>0</v>
      </c>
      <c r="H103" s="89">
        <f>a.4.Centralizat!I139</f>
        <v>0</v>
      </c>
      <c r="I103" s="89">
        <f>a.4.Centralizat!J139</f>
        <v>0</v>
      </c>
      <c r="J103" s="89">
        <f>a.4.Centralizat!K139</f>
        <v>0</v>
      </c>
      <c r="K103" s="89">
        <f>a.4.Centralizat!L139</f>
        <v>0</v>
      </c>
      <c r="L103" s="89">
        <f>a.4.Centralizat!O139</f>
        <v>0</v>
      </c>
      <c r="M103" s="89">
        <v>0</v>
      </c>
      <c r="N103" s="113">
        <v>0</v>
      </c>
      <c r="O103" s="741">
        <f t="shared" si="2"/>
        <v>0</v>
      </c>
      <c r="P103" s="78"/>
    </row>
    <row r="104" spans="1:16" ht="23.25" thickBot="1" x14ac:dyDescent="0.25">
      <c r="A104" s="978"/>
      <c r="B104" s="978"/>
      <c r="C104" s="84"/>
      <c r="D104" s="84"/>
      <c r="E104" s="71" t="s">
        <v>194</v>
      </c>
      <c r="F104" s="84">
        <f t="shared" si="3"/>
        <v>95</v>
      </c>
      <c r="G104" s="89">
        <f>a.4.Centralizat!H140</f>
        <v>378400</v>
      </c>
      <c r="H104" s="89">
        <f>a.4.Centralizat!I140</f>
        <v>0</v>
      </c>
      <c r="I104" s="89">
        <f>a.4.Centralizat!J140</f>
        <v>378400</v>
      </c>
      <c r="J104" s="89">
        <f>a.4.Centralizat!K140</f>
        <v>0</v>
      </c>
      <c r="K104" s="89">
        <f>a.4.Centralizat!L140</f>
        <v>0</v>
      </c>
      <c r="L104" s="89">
        <f>a.4.Centralizat!O140</f>
        <v>361460</v>
      </c>
      <c r="M104" s="89">
        <v>414350</v>
      </c>
      <c r="N104" s="113">
        <v>378400</v>
      </c>
      <c r="O104" s="741">
        <f t="shared" si="2"/>
        <v>0</v>
      </c>
      <c r="P104" s="78"/>
    </row>
    <row r="105" spans="1:16" ht="12" thickBot="1" x14ac:dyDescent="0.25">
      <c r="A105" s="978"/>
      <c r="B105" s="978"/>
      <c r="C105" s="84"/>
      <c r="D105" s="984" t="s">
        <v>74</v>
      </c>
      <c r="E105" s="985"/>
      <c r="F105" s="84">
        <f t="shared" si="3"/>
        <v>96</v>
      </c>
      <c r="G105" s="89">
        <f>a.4.Centralizat!H141</f>
        <v>1960975</v>
      </c>
      <c r="H105" s="89">
        <f>a.4.Centralizat!I141</f>
        <v>449174</v>
      </c>
      <c r="I105" s="89">
        <f>a.4.Centralizat!J141</f>
        <v>553575</v>
      </c>
      <c r="J105" s="89">
        <f>a.4.Centralizat!K141</f>
        <v>395757</v>
      </c>
      <c r="K105" s="89">
        <f>a.4.Centralizat!L141</f>
        <v>562469</v>
      </c>
      <c r="L105" s="89">
        <f>a.4.Centralizat!O141</f>
        <v>1799772</v>
      </c>
      <c r="M105" s="89">
        <v>2006821.0499999998</v>
      </c>
      <c r="N105" s="113">
        <v>1960975</v>
      </c>
      <c r="O105" s="741">
        <f t="shared" si="2"/>
        <v>0</v>
      </c>
      <c r="P105" s="78"/>
    </row>
    <row r="106" spans="1:16" ht="12" thickBot="1" x14ac:dyDescent="0.25">
      <c r="A106" s="978"/>
      <c r="B106" s="978"/>
      <c r="C106" s="84"/>
      <c r="D106" s="984" t="s">
        <v>195</v>
      </c>
      <c r="E106" s="985"/>
      <c r="F106" s="84">
        <f t="shared" si="3"/>
        <v>97</v>
      </c>
      <c r="G106" s="89">
        <f>a.4.Centralizat!H142</f>
        <v>0</v>
      </c>
      <c r="H106" s="89">
        <f>a.4.Centralizat!I142</f>
        <v>0</v>
      </c>
      <c r="I106" s="89">
        <f>a.4.Centralizat!J142</f>
        <v>0</v>
      </c>
      <c r="J106" s="89">
        <f>a.4.Centralizat!K142</f>
        <v>0</v>
      </c>
      <c r="K106" s="89">
        <f>a.4.Centralizat!L142</f>
        <v>0</v>
      </c>
      <c r="L106" s="89">
        <f>a.4.Centralizat!O142</f>
        <v>0</v>
      </c>
      <c r="M106" s="89">
        <v>0</v>
      </c>
      <c r="N106" s="113">
        <v>0</v>
      </c>
      <c r="O106" s="741">
        <f t="shared" si="2"/>
        <v>0</v>
      </c>
      <c r="P106" s="78"/>
    </row>
    <row r="107" spans="1:16" ht="30" customHeight="1" thickBot="1" x14ac:dyDescent="0.25">
      <c r="A107" s="978"/>
      <c r="B107" s="978"/>
      <c r="C107" s="84"/>
      <c r="D107" s="982" t="s">
        <v>390</v>
      </c>
      <c r="E107" s="983"/>
      <c r="F107" s="84">
        <f t="shared" si="3"/>
        <v>98</v>
      </c>
      <c r="G107" s="89">
        <f>a.4.Centralizat!H143</f>
        <v>2300000</v>
      </c>
      <c r="H107" s="89">
        <f>a.4.Centralizat!I143</f>
        <v>0</v>
      </c>
      <c r="I107" s="89">
        <f>a.4.Centralizat!J143</f>
        <v>2300000</v>
      </c>
      <c r="J107" s="89">
        <f>a.4.Centralizat!K143</f>
        <v>0</v>
      </c>
      <c r="K107" s="89">
        <f>a.4.Centralizat!L143</f>
        <v>0</v>
      </c>
      <c r="L107" s="89">
        <f>a.4.Centralizat!O143</f>
        <v>2100000</v>
      </c>
      <c r="M107" s="89">
        <v>2300000</v>
      </c>
      <c r="N107" s="113">
        <v>2300000</v>
      </c>
      <c r="O107" s="741">
        <f t="shared" si="2"/>
        <v>0</v>
      </c>
      <c r="P107" s="78"/>
    </row>
    <row r="108" spans="1:16" ht="12" thickBot="1" x14ac:dyDescent="0.25">
      <c r="A108" s="978"/>
      <c r="B108" s="978"/>
      <c r="C108" s="84"/>
      <c r="D108" s="984" t="s">
        <v>196</v>
      </c>
      <c r="E108" s="985"/>
      <c r="F108" s="84">
        <f t="shared" si="3"/>
        <v>99</v>
      </c>
      <c r="G108" s="89">
        <f>a.4.Centralizat!H144</f>
        <v>0</v>
      </c>
      <c r="H108" s="89">
        <f>a.4.Centralizat!I144</f>
        <v>0</v>
      </c>
      <c r="I108" s="89">
        <f>a.4.Centralizat!J144</f>
        <v>0</v>
      </c>
      <c r="J108" s="89">
        <f>a.4.Centralizat!K144</f>
        <v>0</v>
      </c>
      <c r="K108" s="89">
        <f>a.4.Centralizat!L144</f>
        <v>0</v>
      </c>
      <c r="L108" s="89">
        <f>a.4.Centralizat!O144</f>
        <v>0</v>
      </c>
      <c r="M108" s="89">
        <v>0</v>
      </c>
      <c r="N108" s="113">
        <v>0</v>
      </c>
      <c r="O108" s="741">
        <f t="shared" si="2"/>
        <v>0</v>
      </c>
      <c r="P108" s="78"/>
    </row>
    <row r="109" spans="1:16" ht="12" thickBot="1" x14ac:dyDescent="0.25">
      <c r="A109" s="978"/>
      <c r="B109" s="978"/>
      <c r="C109" s="97" t="s">
        <v>124</v>
      </c>
      <c r="D109" s="989" t="s">
        <v>197</v>
      </c>
      <c r="E109" s="991"/>
      <c r="F109" s="97">
        <f t="shared" si="3"/>
        <v>100</v>
      </c>
      <c r="G109" s="98">
        <f>a.4.Centralizat!H145</f>
        <v>0</v>
      </c>
      <c r="H109" s="98">
        <f>a.4.Centralizat!I145</f>
        <v>0</v>
      </c>
      <c r="I109" s="98">
        <f>a.4.Centralizat!J145</f>
        <v>0</v>
      </c>
      <c r="J109" s="98">
        <f>a.4.Centralizat!K145</f>
        <v>0</v>
      </c>
      <c r="K109" s="98">
        <f>a.4.Centralizat!L145</f>
        <v>0</v>
      </c>
      <c r="L109" s="98">
        <f>a.4.Centralizat!O145</f>
        <v>0</v>
      </c>
      <c r="M109" s="98">
        <v>0</v>
      </c>
      <c r="N109" s="361">
        <v>0</v>
      </c>
      <c r="O109" s="741">
        <f t="shared" si="2"/>
        <v>0</v>
      </c>
      <c r="P109" s="78"/>
    </row>
    <row r="110" spans="1:16" ht="12" thickBot="1" x14ac:dyDescent="0.25">
      <c r="A110" s="978"/>
      <c r="B110" s="978"/>
      <c r="C110" s="84"/>
      <c r="D110" s="973" t="s">
        <v>198</v>
      </c>
      <c r="E110" s="974"/>
      <c r="F110" s="84">
        <f t="shared" si="3"/>
        <v>101</v>
      </c>
      <c r="G110" s="89">
        <f>a.4.Centralizat!H146</f>
        <v>0</v>
      </c>
      <c r="H110" s="89">
        <f>a.4.Centralizat!I146</f>
        <v>0</v>
      </c>
      <c r="I110" s="89">
        <f>a.4.Centralizat!J146</f>
        <v>0</v>
      </c>
      <c r="J110" s="89">
        <f>a.4.Centralizat!K146</f>
        <v>0</v>
      </c>
      <c r="K110" s="89">
        <f>a.4.Centralizat!L146</f>
        <v>0</v>
      </c>
      <c r="L110" s="89">
        <f>a.4.Centralizat!O146</f>
        <v>0</v>
      </c>
      <c r="M110" s="89">
        <v>0</v>
      </c>
      <c r="N110" s="113">
        <v>0</v>
      </c>
      <c r="O110" s="741">
        <f t="shared" si="2"/>
        <v>0</v>
      </c>
      <c r="P110" s="78"/>
    </row>
    <row r="111" spans="1:16" ht="12" thickBot="1" x14ac:dyDescent="0.25">
      <c r="A111" s="978"/>
      <c r="B111" s="978"/>
      <c r="C111" s="84"/>
      <c r="D111" s="973" t="s">
        <v>199</v>
      </c>
      <c r="E111" s="974"/>
      <c r="F111" s="84">
        <f t="shared" si="3"/>
        <v>102</v>
      </c>
      <c r="G111" s="89">
        <f>a.4.Centralizat!H147</f>
        <v>0</v>
      </c>
      <c r="H111" s="89">
        <f>a.4.Centralizat!I147</f>
        <v>0</v>
      </c>
      <c r="I111" s="89">
        <f>a.4.Centralizat!J147</f>
        <v>0</v>
      </c>
      <c r="J111" s="89">
        <f>a.4.Centralizat!K147</f>
        <v>0</v>
      </c>
      <c r="K111" s="89">
        <f>a.4.Centralizat!L147</f>
        <v>0</v>
      </c>
      <c r="L111" s="89">
        <f>a.4.Centralizat!O147</f>
        <v>0</v>
      </c>
      <c r="M111" s="89">
        <v>0</v>
      </c>
      <c r="N111" s="113">
        <v>0</v>
      </c>
      <c r="O111" s="741">
        <f t="shared" si="2"/>
        <v>0</v>
      </c>
      <c r="P111" s="78"/>
    </row>
    <row r="112" spans="1:16" ht="12" thickBot="1" x14ac:dyDescent="0.25">
      <c r="A112" s="978"/>
      <c r="B112" s="978"/>
      <c r="C112" s="84"/>
      <c r="D112" s="973" t="s">
        <v>200</v>
      </c>
      <c r="E112" s="974"/>
      <c r="F112" s="84">
        <f t="shared" si="3"/>
        <v>103</v>
      </c>
      <c r="G112" s="89">
        <f>a.4.Centralizat!H148</f>
        <v>0</v>
      </c>
      <c r="H112" s="89">
        <f>a.4.Centralizat!I148</f>
        <v>0</v>
      </c>
      <c r="I112" s="89">
        <f>a.4.Centralizat!J148</f>
        <v>0</v>
      </c>
      <c r="J112" s="89">
        <f>a.4.Centralizat!K148</f>
        <v>0</v>
      </c>
      <c r="K112" s="89">
        <f>a.4.Centralizat!L148</f>
        <v>0</v>
      </c>
      <c r="L112" s="89">
        <f>a.4.Centralizat!O148</f>
        <v>0</v>
      </c>
      <c r="M112" s="89">
        <v>0</v>
      </c>
      <c r="N112" s="113">
        <v>0</v>
      </c>
      <c r="O112" s="741">
        <f t="shared" si="2"/>
        <v>0</v>
      </c>
      <c r="P112" s="78"/>
    </row>
    <row r="113" spans="1:16" ht="39" customHeight="1" thickBot="1" x14ac:dyDescent="0.25">
      <c r="A113" s="978"/>
      <c r="B113" s="978"/>
      <c r="C113" s="253" t="s">
        <v>63</v>
      </c>
      <c r="D113" s="1003" t="s">
        <v>75</v>
      </c>
      <c r="E113" s="1004"/>
      <c r="F113" s="253">
        <f t="shared" si="3"/>
        <v>104</v>
      </c>
      <c r="G113" s="254">
        <f>a.4.Centralizat!H149</f>
        <v>686555</v>
      </c>
      <c r="H113" s="254">
        <f>a.4.Centralizat!I149</f>
        <v>155545</v>
      </c>
      <c r="I113" s="254">
        <f>a.4.Centralizat!J149</f>
        <v>233545</v>
      </c>
      <c r="J113" s="254">
        <f>a.4.Centralizat!K149</f>
        <v>155545</v>
      </c>
      <c r="K113" s="254">
        <f>a.4.Centralizat!L149</f>
        <v>141920</v>
      </c>
      <c r="L113" s="254">
        <f>a.4.Centralizat!O149</f>
        <v>557155</v>
      </c>
      <c r="M113" s="254">
        <v>667195</v>
      </c>
      <c r="N113" s="738">
        <v>686555</v>
      </c>
      <c r="O113" s="741">
        <f t="shared" si="2"/>
        <v>0</v>
      </c>
      <c r="P113" s="78"/>
    </row>
    <row r="114" spans="1:16" ht="12" thickBot="1" x14ac:dyDescent="0.25">
      <c r="A114" s="978"/>
      <c r="B114" s="978"/>
      <c r="C114" s="977"/>
      <c r="D114" s="980" t="s">
        <v>282</v>
      </c>
      <c r="E114" s="981"/>
      <c r="F114" s="84">
        <f t="shared" si="3"/>
        <v>105</v>
      </c>
      <c r="G114" s="250">
        <f>a.4.Centralizat!H150</f>
        <v>258000</v>
      </c>
      <c r="H114" s="250">
        <f>a.4.Centralizat!I150</f>
        <v>45000</v>
      </c>
      <c r="I114" s="250">
        <f>a.4.Centralizat!J150</f>
        <v>123000</v>
      </c>
      <c r="J114" s="250">
        <f>a.4.Centralizat!K150</f>
        <v>45000</v>
      </c>
      <c r="K114" s="250">
        <f>a.4.Centralizat!L150</f>
        <v>45000</v>
      </c>
      <c r="L114" s="250">
        <f>a.4.Centralizat!O150</f>
        <v>236072</v>
      </c>
      <c r="M114" s="250">
        <v>236500</v>
      </c>
      <c r="N114" s="365">
        <v>258000</v>
      </c>
      <c r="O114" s="741">
        <f t="shared" si="2"/>
        <v>0</v>
      </c>
      <c r="P114" s="78"/>
    </row>
    <row r="115" spans="1:16" ht="12" thickBot="1" x14ac:dyDescent="0.25">
      <c r="A115" s="978"/>
      <c r="B115" s="978"/>
      <c r="C115" s="978"/>
      <c r="D115" s="104"/>
      <c r="E115" s="105" t="s">
        <v>414</v>
      </c>
      <c r="F115" s="308">
        <f t="shared" si="3"/>
        <v>106</v>
      </c>
      <c r="G115" s="125">
        <f>a.4.Centralizat!H151</f>
        <v>78000</v>
      </c>
      <c r="H115" s="125">
        <f>a.4.Centralizat!I151</f>
        <v>19500</v>
      </c>
      <c r="I115" s="125">
        <f>a.4.Centralizat!J151</f>
        <v>19500</v>
      </c>
      <c r="J115" s="125">
        <f>a.4.Centralizat!K151</f>
        <v>19500</v>
      </c>
      <c r="K115" s="125">
        <f>a.4.Centralizat!L151</f>
        <v>19500</v>
      </c>
      <c r="L115" s="125">
        <f>a.4.Centralizat!O151</f>
        <v>236072</v>
      </c>
      <c r="M115" s="125">
        <v>79500</v>
      </c>
      <c r="N115" s="367">
        <v>78000</v>
      </c>
      <c r="O115" s="741">
        <f t="shared" si="2"/>
        <v>0</v>
      </c>
      <c r="P115" s="78"/>
    </row>
    <row r="116" spans="1:16" ht="12" thickBot="1" x14ac:dyDescent="0.25">
      <c r="A116" s="978"/>
      <c r="B116" s="978"/>
      <c r="C116" s="978"/>
      <c r="D116" s="104"/>
      <c r="E116" s="105" t="s">
        <v>415</v>
      </c>
      <c r="F116" s="308">
        <f t="shared" si="3"/>
        <v>107</v>
      </c>
      <c r="G116" s="125">
        <f>a.4.Centralizat!H152</f>
        <v>180000</v>
      </c>
      <c r="H116" s="125">
        <f>a.4.Centralizat!I152</f>
        <v>25500</v>
      </c>
      <c r="I116" s="125">
        <f>a.4.Centralizat!J152</f>
        <v>103500</v>
      </c>
      <c r="J116" s="125">
        <f>a.4.Centralizat!K152</f>
        <v>25500</v>
      </c>
      <c r="K116" s="125">
        <f>a.4.Centralizat!L152</f>
        <v>25500</v>
      </c>
      <c r="L116" s="125">
        <f>a.4.Centralizat!O152</f>
        <v>0</v>
      </c>
      <c r="M116" s="125">
        <v>157000</v>
      </c>
      <c r="N116" s="367">
        <v>180000</v>
      </c>
      <c r="O116" s="741">
        <f t="shared" si="2"/>
        <v>0</v>
      </c>
      <c r="P116" s="78"/>
    </row>
    <row r="117" spans="1:16" ht="12" thickBot="1" x14ac:dyDescent="0.25">
      <c r="A117" s="978"/>
      <c r="B117" s="978"/>
      <c r="C117" s="978"/>
      <c r="D117" s="982" t="s">
        <v>201</v>
      </c>
      <c r="E117" s="983"/>
      <c r="F117" s="84">
        <f t="shared" si="3"/>
        <v>108</v>
      </c>
      <c r="G117" s="250">
        <f>a.4.Centralizat!H153</f>
        <v>333180</v>
      </c>
      <c r="H117" s="250">
        <f>a.4.Centralizat!I153</f>
        <v>83295</v>
      </c>
      <c r="I117" s="250">
        <f>a.4.Centralizat!J153</f>
        <v>83295</v>
      </c>
      <c r="J117" s="250">
        <f>a.4.Centralizat!K153</f>
        <v>83295</v>
      </c>
      <c r="K117" s="250">
        <f>a.4.Centralizat!L153</f>
        <v>83295</v>
      </c>
      <c r="L117" s="250">
        <f>a.4.Centralizat!O153</f>
        <v>289458</v>
      </c>
      <c r="M117" s="250">
        <v>307095</v>
      </c>
      <c r="N117" s="365">
        <v>333180</v>
      </c>
      <c r="O117" s="741">
        <f t="shared" si="2"/>
        <v>0</v>
      </c>
      <c r="P117" s="78"/>
    </row>
    <row r="118" spans="1:16" ht="12" thickBot="1" x14ac:dyDescent="0.25">
      <c r="A118" s="978"/>
      <c r="B118" s="978"/>
      <c r="C118" s="978"/>
      <c r="D118" s="106"/>
      <c r="E118" s="105" t="s">
        <v>414</v>
      </c>
      <c r="F118" s="308">
        <f t="shared" si="3"/>
        <v>109</v>
      </c>
      <c r="G118" s="125">
        <f>a.4.Centralizat!H154</f>
        <v>265680</v>
      </c>
      <c r="H118" s="125">
        <f>a.4.Centralizat!I154</f>
        <v>66420</v>
      </c>
      <c r="I118" s="125">
        <f>a.4.Centralizat!J154</f>
        <v>66420</v>
      </c>
      <c r="J118" s="125">
        <f>a.4.Centralizat!K154</f>
        <v>66420</v>
      </c>
      <c r="K118" s="125">
        <f>a.4.Centralizat!L154</f>
        <v>66420</v>
      </c>
      <c r="L118" s="125">
        <f>a.4.Centralizat!O154</f>
        <v>289458</v>
      </c>
      <c r="M118" s="125">
        <v>243520</v>
      </c>
      <c r="N118" s="367">
        <v>265680</v>
      </c>
      <c r="O118" s="741">
        <f t="shared" si="2"/>
        <v>0</v>
      </c>
      <c r="P118" s="78"/>
    </row>
    <row r="119" spans="1:16" ht="12" thickBot="1" x14ac:dyDescent="0.25">
      <c r="A119" s="978"/>
      <c r="B119" s="978"/>
      <c r="C119" s="978"/>
      <c r="D119" s="106"/>
      <c r="E119" s="105" t="s">
        <v>415</v>
      </c>
      <c r="F119" s="308">
        <f t="shared" si="3"/>
        <v>110</v>
      </c>
      <c r="G119" s="125">
        <f>a.4.Centralizat!H155</f>
        <v>67500</v>
      </c>
      <c r="H119" s="125">
        <f>a.4.Centralizat!I155</f>
        <v>16875</v>
      </c>
      <c r="I119" s="125">
        <f>a.4.Centralizat!J155</f>
        <v>16875</v>
      </c>
      <c r="J119" s="125">
        <f>a.4.Centralizat!K155</f>
        <v>16875</v>
      </c>
      <c r="K119" s="125">
        <f>a.4.Centralizat!L155</f>
        <v>16875</v>
      </c>
      <c r="L119" s="125">
        <f>a.4.Centralizat!O155</f>
        <v>0</v>
      </c>
      <c r="M119" s="125">
        <v>63575</v>
      </c>
      <c r="N119" s="367">
        <v>67500</v>
      </c>
      <c r="O119" s="741">
        <f t="shared" si="2"/>
        <v>0</v>
      </c>
      <c r="P119" s="78"/>
    </row>
    <row r="120" spans="1:16" ht="12" thickBot="1" x14ac:dyDescent="0.25">
      <c r="A120" s="978"/>
      <c r="B120" s="978"/>
      <c r="C120" s="979"/>
      <c r="D120" s="980" t="s">
        <v>202</v>
      </c>
      <c r="E120" s="981"/>
      <c r="F120" s="84">
        <f t="shared" si="3"/>
        <v>111</v>
      </c>
      <c r="G120" s="250">
        <f>a.4.Centralizat!H156</f>
        <v>95375</v>
      </c>
      <c r="H120" s="250">
        <f>a.4.Centralizat!I156</f>
        <v>27250</v>
      </c>
      <c r="I120" s="250">
        <f>a.4.Centralizat!J156</f>
        <v>27250</v>
      </c>
      <c r="J120" s="250">
        <f>a.4.Centralizat!K156</f>
        <v>27250</v>
      </c>
      <c r="K120" s="250">
        <f>a.4.Centralizat!L156</f>
        <v>13625</v>
      </c>
      <c r="L120" s="250">
        <f>a.4.Centralizat!O156</f>
        <v>31625</v>
      </c>
      <c r="M120" s="250">
        <v>123600</v>
      </c>
      <c r="N120" s="365">
        <v>95375</v>
      </c>
      <c r="O120" s="741">
        <f t="shared" si="2"/>
        <v>0</v>
      </c>
      <c r="P120" s="78"/>
    </row>
    <row r="121" spans="1:16" ht="12" thickBot="1" x14ac:dyDescent="0.25">
      <c r="A121" s="978"/>
      <c r="B121" s="978"/>
      <c r="C121" s="84"/>
      <c r="D121" s="982" t="s">
        <v>203</v>
      </c>
      <c r="E121" s="983"/>
      <c r="F121" s="84">
        <f t="shared" si="3"/>
        <v>112</v>
      </c>
      <c r="G121" s="89">
        <f>a.4.Centralizat!H157</f>
        <v>0</v>
      </c>
      <c r="H121" s="89">
        <f>a.4.Centralizat!I157</f>
        <v>0</v>
      </c>
      <c r="I121" s="89">
        <f>a.4.Centralizat!J157</f>
        <v>0</v>
      </c>
      <c r="J121" s="89">
        <f>a.4.Centralizat!K157</f>
        <v>0</v>
      </c>
      <c r="K121" s="89">
        <f>a.4.Centralizat!L157</f>
        <v>0</v>
      </c>
      <c r="L121" s="89">
        <f>a.4.Centralizat!O157</f>
        <v>0</v>
      </c>
      <c r="M121" s="89">
        <v>0</v>
      </c>
      <c r="N121" s="113">
        <v>0</v>
      </c>
      <c r="O121" s="741">
        <f t="shared" si="2"/>
        <v>0</v>
      </c>
      <c r="P121" s="78"/>
    </row>
    <row r="122" spans="1:16" ht="23.25" customHeight="1" thickBot="1" x14ac:dyDescent="0.25">
      <c r="A122" s="978"/>
      <c r="B122" s="978"/>
      <c r="C122" s="253" t="s">
        <v>68</v>
      </c>
      <c r="D122" s="1001" t="s">
        <v>204</v>
      </c>
      <c r="E122" s="1002"/>
      <c r="F122" s="253">
        <f t="shared" si="3"/>
        <v>113</v>
      </c>
      <c r="G122" s="254">
        <f>a.4.Centralizat!H158</f>
        <v>8491672.3288800009</v>
      </c>
      <c r="H122" s="254">
        <f>a.4.Centralizat!I158</f>
        <v>1815343.8945200001</v>
      </c>
      <c r="I122" s="254">
        <f>a.4.Centralizat!J158</f>
        <v>2534491.1353399991</v>
      </c>
      <c r="J122" s="254">
        <f>a.4.Centralizat!K158</f>
        <v>1960280.9860799999</v>
      </c>
      <c r="K122" s="254">
        <f>a.4.Centralizat!L158</f>
        <v>2181556.3129400001</v>
      </c>
      <c r="L122" s="254">
        <f>a.4.Centralizat!O158</f>
        <v>8937079.6345199998</v>
      </c>
      <c r="M122" s="254">
        <v>9525638.5092220008</v>
      </c>
      <c r="N122" s="738">
        <v>8491672.3288800009</v>
      </c>
      <c r="O122" s="741">
        <f t="shared" si="2"/>
        <v>0</v>
      </c>
      <c r="P122" s="78"/>
    </row>
    <row r="123" spans="1:16" ht="12" thickBot="1" x14ac:dyDescent="0.25">
      <c r="A123" s="978"/>
      <c r="B123" s="978"/>
      <c r="C123" s="998"/>
      <c r="D123" s="984" t="s">
        <v>205</v>
      </c>
      <c r="E123" s="985"/>
      <c r="F123" s="84">
        <f t="shared" si="3"/>
        <v>114</v>
      </c>
      <c r="G123" s="101">
        <f>a.4.Centralizat!H159</f>
        <v>6070403.6728800014</v>
      </c>
      <c r="H123" s="101">
        <f>a.4.Centralizat!I159</f>
        <v>1297849.0705200001</v>
      </c>
      <c r="I123" s="101">
        <f>a.4.Centralizat!J159</f>
        <v>1812012.8273399998</v>
      </c>
      <c r="J123" s="101">
        <f>a.4.Centralizat!K159</f>
        <v>1401071.2900799997</v>
      </c>
      <c r="K123" s="101">
        <f>a.4.Centralizat!L159</f>
        <v>1559470.4849400001</v>
      </c>
      <c r="L123" s="101">
        <f>a.4.Centralizat!O159</f>
        <v>6668942.01052</v>
      </c>
      <c r="M123" s="101">
        <v>7149034.7853100002</v>
      </c>
      <c r="N123" s="363">
        <v>6070403.6728800014</v>
      </c>
      <c r="O123" s="741">
        <f t="shared" si="2"/>
        <v>0</v>
      </c>
      <c r="P123" s="78"/>
    </row>
    <row r="124" spans="1:16" ht="12" thickBot="1" x14ac:dyDescent="0.25">
      <c r="A124" s="978"/>
      <c r="B124" s="978"/>
      <c r="C124" s="999"/>
      <c r="D124" s="984" t="s">
        <v>206</v>
      </c>
      <c r="E124" s="985"/>
      <c r="F124" s="84">
        <f t="shared" si="3"/>
        <v>115</v>
      </c>
      <c r="G124" s="101">
        <f>a.4.Centralizat!H160</f>
        <v>267051.68999999994</v>
      </c>
      <c r="H124" s="101">
        <f>a.4.Centralizat!I160</f>
        <v>57076.635000000002</v>
      </c>
      <c r="I124" s="101">
        <f>a.4.Centralizat!J160</f>
        <v>79685.107499999984</v>
      </c>
      <c r="J124" s="101">
        <f>a.4.Centralizat!K160</f>
        <v>61677.539999999994</v>
      </c>
      <c r="K124" s="101">
        <f>a.4.Centralizat!L160</f>
        <v>68612.407499999987</v>
      </c>
      <c r="L124" s="101">
        <f>a.4.Centralizat!O160</f>
        <v>243136.13500000001</v>
      </c>
      <c r="M124" s="101">
        <v>364898.60525500006</v>
      </c>
      <c r="N124" s="363">
        <v>267051.68999999994</v>
      </c>
      <c r="O124" s="741">
        <f t="shared" si="2"/>
        <v>0</v>
      </c>
      <c r="P124" s="78"/>
    </row>
    <row r="125" spans="1:16" ht="12" thickBot="1" x14ac:dyDescent="0.25">
      <c r="A125" s="978"/>
      <c r="B125" s="978"/>
      <c r="C125" s="999"/>
      <c r="D125" s="973" t="s">
        <v>207</v>
      </c>
      <c r="E125" s="974"/>
      <c r="F125" s="84">
        <f t="shared" si="3"/>
        <v>116</v>
      </c>
      <c r="G125" s="101">
        <f>a.4.Centralizat!H161</f>
        <v>2154216.9659999995</v>
      </c>
      <c r="H125" s="101">
        <f>a.4.Centralizat!I161</f>
        <v>460418.18900000001</v>
      </c>
      <c r="I125" s="101">
        <f>a.4.Centralizat!J161</f>
        <v>642793.20049999992</v>
      </c>
      <c r="J125" s="101">
        <f>a.4.Centralizat!K161</f>
        <v>497532.15599999996</v>
      </c>
      <c r="K125" s="101">
        <f>a.4.Centralizat!L161</f>
        <v>553473.42050000001</v>
      </c>
      <c r="L125" s="101">
        <f>a.4.Centralizat!O161</f>
        <v>2025001.4890000001</v>
      </c>
      <c r="M125" s="101">
        <v>2011705.1186570001</v>
      </c>
      <c r="N125" s="363">
        <v>2154216.9659999995</v>
      </c>
      <c r="O125" s="741">
        <f t="shared" si="2"/>
        <v>0</v>
      </c>
      <c r="P125" s="78"/>
    </row>
    <row r="126" spans="1:16" ht="24" customHeight="1" thickBot="1" x14ac:dyDescent="0.25">
      <c r="A126" s="978"/>
      <c r="B126" s="978"/>
      <c r="C126" s="999"/>
      <c r="D126" s="973" t="s">
        <v>208</v>
      </c>
      <c r="E126" s="974"/>
      <c r="F126" s="84">
        <f t="shared" si="3"/>
        <v>117</v>
      </c>
      <c r="G126" s="101">
        <f>a.4.Centralizat!H162</f>
        <v>0</v>
      </c>
      <c r="H126" s="101">
        <f>a.4.Centralizat!I162</f>
        <v>0</v>
      </c>
      <c r="I126" s="101">
        <f>a.4.Centralizat!J162</f>
        <v>0</v>
      </c>
      <c r="J126" s="101">
        <f>a.4.Centralizat!K162</f>
        <v>0</v>
      </c>
      <c r="K126" s="101">
        <f>a.4.Centralizat!L162</f>
        <v>0</v>
      </c>
      <c r="L126" s="101">
        <f>a.4.Centralizat!O162</f>
        <v>0</v>
      </c>
      <c r="M126" s="101"/>
      <c r="N126" s="363">
        <v>0</v>
      </c>
      <c r="O126" s="741">
        <f t="shared" si="2"/>
        <v>0</v>
      </c>
      <c r="P126" s="78"/>
    </row>
    <row r="127" spans="1:16" ht="12" thickBot="1" x14ac:dyDescent="0.25">
      <c r="A127" s="978"/>
      <c r="B127" s="978"/>
      <c r="C127" s="999"/>
      <c r="D127" s="984" t="s">
        <v>209</v>
      </c>
      <c r="E127" s="985"/>
      <c r="F127" s="84">
        <f t="shared" si="3"/>
        <v>118</v>
      </c>
      <c r="G127" s="101">
        <f>a.4.Centralizat!H163</f>
        <v>0</v>
      </c>
      <c r="H127" s="101">
        <f>a.4.Centralizat!I163</f>
        <v>0</v>
      </c>
      <c r="I127" s="101">
        <f>a.4.Centralizat!J163</f>
        <v>0</v>
      </c>
      <c r="J127" s="101">
        <f>a.4.Centralizat!K163</f>
        <v>0</v>
      </c>
      <c r="K127" s="101">
        <f>a.4.Centralizat!L163</f>
        <v>0</v>
      </c>
      <c r="L127" s="101">
        <f>a.4.Centralizat!O163</f>
        <v>0</v>
      </c>
      <c r="M127" s="101"/>
      <c r="N127" s="363">
        <v>0</v>
      </c>
      <c r="O127" s="741">
        <f t="shared" si="2"/>
        <v>0</v>
      </c>
      <c r="P127" s="78"/>
    </row>
    <row r="128" spans="1:16" ht="12" thickBot="1" x14ac:dyDescent="0.25">
      <c r="A128" s="978"/>
      <c r="B128" s="978"/>
      <c r="C128" s="1000"/>
      <c r="D128" s="984" t="s">
        <v>210</v>
      </c>
      <c r="E128" s="985"/>
      <c r="F128" s="84">
        <f t="shared" si="3"/>
        <v>119</v>
      </c>
      <c r="G128" s="89">
        <f>a.4.Centralizat!H164</f>
        <v>0</v>
      </c>
      <c r="H128" s="89">
        <f>a.4.Centralizat!I164</f>
        <v>0</v>
      </c>
      <c r="I128" s="89">
        <f>a.4.Centralizat!J164</f>
        <v>0</v>
      </c>
      <c r="J128" s="89">
        <f>a.4.Centralizat!K164</f>
        <v>0</v>
      </c>
      <c r="K128" s="89">
        <f>a.4.Centralizat!L164</f>
        <v>0</v>
      </c>
      <c r="L128" s="89">
        <f>a.4.Centralizat!O164</f>
        <v>0</v>
      </c>
      <c r="M128" s="89"/>
      <c r="N128" s="113">
        <v>0</v>
      </c>
      <c r="O128" s="741">
        <f t="shared" si="2"/>
        <v>0</v>
      </c>
      <c r="P128" s="78"/>
    </row>
    <row r="129" spans="1:16" ht="12" thickBot="1" x14ac:dyDescent="0.25">
      <c r="A129" s="978"/>
      <c r="B129" s="978"/>
      <c r="C129" s="986" t="s">
        <v>469</v>
      </c>
      <c r="D129" s="987"/>
      <c r="E129" s="988"/>
      <c r="F129" s="97">
        <f t="shared" si="3"/>
        <v>120</v>
      </c>
      <c r="G129" s="100">
        <f>a.4.Centralizat!H165</f>
        <v>9352603.6099999994</v>
      </c>
      <c r="H129" s="100">
        <f>a.4.Centralizat!I165</f>
        <v>1725092.4</v>
      </c>
      <c r="I129" s="100">
        <f>a.4.Centralizat!J165</f>
        <v>-474027.92</v>
      </c>
      <c r="J129" s="100">
        <f>a.4.Centralizat!K165</f>
        <v>1852529.13</v>
      </c>
      <c r="K129" s="100">
        <f>a.4.Centralizat!L165</f>
        <v>6249010</v>
      </c>
      <c r="L129" s="100">
        <f>a.4.Centralizat!O165</f>
        <v>11060724</v>
      </c>
      <c r="M129" s="100">
        <v>13228330.763439998</v>
      </c>
      <c r="N129" s="362">
        <v>9352603.6099999994</v>
      </c>
      <c r="O129" s="741">
        <f t="shared" si="2"/>
        <v>0</v>
      </c>
      <c r="P129" s="78"/>
    </row>
    <row r="130" spans="1:16" ht="12" thickBot="1" x14ac:dyDescent="0.25">
      <c r="A130" s="978"/>
      <c r="B130" s="978"/>
      <c r="C130" s="85" t="s">
        <v>27</v>
      </c>
      <c r="D130" s="973" t="s">
        <v>470</v>
      </c>
      <c r="E130" s="974"/>
      <c r="F130" s="84">
        <f t="shared" si="3"/>
        <v>121</v>
      </c>
      <c r="G130" s="89">
        <f>a.4.Centralizat!H166</f>
        <v>165879.53</v>
      </c>
      <c r="H130" s="89">
        <f>a.4.Centralizat!I166</f>
        <v>45081.34</v>
      </c>
      <c r="I130" s="89">
        <f>a.4.Centralizat!J166</f>
        <v>39776.67</v>
      </c>
      <c r="J130" s="89">
        <f>a.4.Centralizat!K166</f>
        <v>38681.519999999997</v>
      </c>
      <c r="K130" s="89">
        <f>a.4.Centralizat!L166</f>
        <v>42340</v>
      </c>
      <c r="L130" s="89">
        <f>a.4.Centralizat!O166</f>
        <v>230697</v>
      </c>
      <c r="M130" s="89">
        <v>36223.928730400003</v>
      </c>
      <c r="N130" s="113">
        <v>165879.53</v>
      </c>
      <c r="O130" s="741">
        <f t="shared" si="2"/>
        <v>0</v>
      </c>
      <c r="P130" s="78"/>
    </row>
    <row r="131" spans="1:16" ht="12" thickBot="1" x14ac:dyDescent="0.25">
      <c r="A131" s="978"/>
      <c r="B131" s="978"/>
      <c r="C131" s="85"/>
      <c r="D131" s="984" t="s">
        <v>211</v>
      </c>
      <c r="E131" s="985"/>
      <c r="F131" s="84">
        <f t="shared" si="3"/>
        <v>122</v>
      </c>
      <c r="G131" s="89">
        <f>a.4.Centralizat!H167</f>
        <v>80000</v>
      </c>
      <c r="H131" s="89">
        <f>a.4.Centralizat!I167</f>
        <v>20000</v>
      </c>
      <c r="I131" s="89">
        <f>a.4.Centralizat!J167</f>
        <v>20000</v>
      </c>
      <c r="J131" s="89">
        <f>a.4.Centralizat!K167</f>
        <v>20000</v>
      </c>
      <c r="K131" s="89">
        <f>a.4.Centralizat!L167</f>
        <v>20000</v>
      </c>
      <c r="L131" s="89">
        <f>a.4.Centralizat!O167</f>
        <v>125518</v>
      </c>
      <c r="M131" s="89">
        <v>20000</v>
      </c>
      <c r="N131" s="113">
        <v>80000</v>
      </c>
      <c r="O131" s="741">
        <f t="shared" si="2"/>
        <v>0</v>
      </c>
      <c r="P131" s="78"/>
    </row>
    <row r="132" spans="1:16" ht="12" thickBot="1" x14ac:dyDescent="0.25">
      <c r="A132" s="978"/>
      <c r="B132" s="978"/>
      <c r="C132" s="85"/>
      <c r="D132" s="984" t="s">
        <v>212</v>
      </c>
      <c r="E132" s="985"/>
      <c r="F132" s="84">
        <f t="shared" si="3"/>
        <v>123</v>
      </c>
      <c r="G132" s="89">
        <f>a.4.Centralizat!H168</f>
        <v>85879.53</v>
      </c>
      <c r="H132" s="89">
        <f>a.4.Centralizat!I168</f>
        <v>25081.34</v>
      </c>
      <c r="I132" s="89">
        <f>a.4.Centralizat!J168</f>
        <v>19776.669999999998</v>
      </c>
      <c r="J132" s="89">
        <f>a.4.Centralizat!K168</f>
        <v>18681.52</v>
      </c>
      <c r="K132" s="89">
        <f>a.4.Centralizat!L168</f>
        <v>22340</v>
      </c>
      <c r="L132" s="89">
        <f>a.4.Centralizat!O168</f>
        <v>105179</v>
      </c>
      <c r="M132" s="89">
        <v>16223.928730399999</v>
      </c>
      <c r="N132" s="113">
        <v>85879.53</v>
      </c>
      <c r="O132" s="741">
        <f t="shared" si="2"/>
        <v>0</v>
      </c>
      <c r="P132" s="78"/>
    </row>
    <row r="133" spans="1:16" ht="12" thickBot="1" x14ac:dyDescent="0.25">
      <c r="A133" s="978"/>
      <c r="B133" s="978"/>
      <c r="C133" s="85" t="s">
        <v>38</v>
      </c>
      <c r="D133" s="984" t="s">
        <v>213</v>
      </c>
      <c r="E133" s="985"/>
      <c r="F133" s="84">
        <f t="shared" si="3"/>
        <v>124</v>
      </c>
      <c r="G133" s="89">
        <f>a.4.Centralizat!H169</f>
        <v>0</v>
      </c>
      <c r="H133" s="89">
        <f>a.4.Centralizat!I169</f>
        <v>0</v>
      </c>
      <c r="I133" s="89">
        <f>a.4.Centralizat!J169</f>
        <v>0</v>
      </c>
      <c r="J133" s="89">
        <f>a.4.Centralizat!K169</f>
        <v>0</v>
      </c>
      <c r="K133" s="89">
        <f>a.4.Centralizat!L169</f>
        <v>0</v>
      </c>
      <c r="L133" s="89">
        <f>a.4.Centralizat!O169</f>
        <v>1328</v>
      </c>
      <c r="M133" s="89">
        <v>30000</v>
      </c>
      <c r="N133" s="113">
        <v>0</v>
      </c>
      <c r="O133" s="741">
        <f t="shared" si="2"/>
        <v>0</v>
      </c>
      <c r="P133" s="78"/>
    </row>
    <row r="134" spans="1:16" ht="12" thickBot="1" x14ac:dyDescent="0.25">
      <c r="A134" s="977"/>
      <c r="B134" s="977"/>
      <c r="C134" s="85" t="s">
        <v>40</v>
      </c>
      <c r="D134" s="973" t="s">
        <v>287</v>
      </c>
      <c r="E134" s="974"/>
      <c r="F134" s="84">
        <f t="shared" si="3"/>
        <v>125</v>
      </c>
      <c r="G134" s="89">
        <f>a.4.Centralizat!H170</f>
        <v>0</v>
      </c>
      <c r="H134" s="89">
        <f>a.4.Centralizat!I170</f>
        <v>0</v>
      </c>
      <c r="I134" s="89">
        <f>a.4.Centralizat!J170</f>
        <v>0</v>
      </c>
      <c r="J134" s="89">
        <f>a.4.Centralizat!K170</f>
        <v>0</v>
      </c>
      <c r="K134" s="89">
        <f>a.4.Centralizat!L170</f>
        <v>0</v>
      </c>
      <c r="L134" s="89">
        <f>a.4.Centralizat!O170</f>
        <v>0</v>
      </c>
      <c r="M134" s="89">
        <v>0</v>
      </c>
      <c r="N134" s="113">
        <v>0</v>
      </c>
      <c r="O134" s="741">
        <f t="shared" si="2"/>
        <v>0</v>
      </c>
      <c r="P134" s="78"/>
    </row>
    <row r="135" spans="1:16" ht="12" thickBot="1" x14ac:dyDescent="0.25">
      <c r="A135" s="978"/>
      <c r="B135" s="978"/>
      <c r="C135" s="85" t="s">
        <v>42</v>
      </c>
      <c r="D135" s="984" t="s">
        <v>149</v>
      </c>
      <c r="E135" s="985"/>
      <c r="F135" s="84">
        <f t="shared" si="3"/>
        <v>126</v>
      </c>
      <c r="G135" s="89">
        <f>a.4.Centralizat!H171</f>
        <v>404.49</v>
      </c>
      <c r="H135" s="89">
        <f>a.4.Centralizat!I171</f>
        <v>101.49</v>
      </c>
      <c r="I135" s="89">
        <f>a.4.Centralizat!J171</f>
        <v>101</v>
      </c>
      <c r="J135" s="89">
        <f>a.4.Centralizat!K171</f>
        <v>101</v>
      </c>
      <c r="K135" s="89">
        <f>a.4.Centralizat!L171</f>
        <v>101</v>
      </c>
      <c r="L135" s="89">
        <f>a.4.Centralizat!O171</f>
        <v>303358</v>
      </c>
      <c r="M135" s="89">
        <v>422927.05685299996</v>
      </c>
      <c r="N135" s="113">
        <v>404.49</v>
      </c>
      <c r="O135" s="741">
        <f t="shared" si="2"/>
        <v>0</v>
      </c>
      <c r="P135" s="78"/>
    </row>
    <row r="136" spans="1:16" ht="12" thickBot="1" x14ac:dyDescent="0.25">
      <c r="A136" s="978"/>
      <c r="B136" s="978"/>
      <c r="C136" s="85" t="s">
        <v>28</v>
      </c>
      <c r="D136" s="973" t="s">
        <v>288</v>
      </c>
      <c r="E136" s="974"/>
      <c r="F136" s="84">
        <f t="shared" si="3"/>
        <v>127</v>
      </c>
      <c r="G136" s="89">
        <f>a.4.Centralizat!H172</f>
        <v>7816803.1900000004</v>
      </c>
      <c r="H136" s="89">
        <f>a.4.Centralizat!I172</f>
        <v>1825850.73</v>
      </c>
      <c r="I136" s="89">
        <f>a.4.Centralizat!J172</f>
        <v>1886350.73</v>
      </c>
      <c r="J136" s="89">
        <f>a.4.Centralizat!K172</f>
        <v>1916350.73</v>
      </c>
      <c r="K136" s="89">
        <f>a.4.Centralizat!L172</f>
        <v>2188251</v>
      </c>
      <c r="L136" s="89">
        <f>a.4.Centralizat!O172</f>
        <v>7099096</v>
      </c>
      <c r="M136" s="89">
        <v>9585294.427856598</v>
      </c>
      <c r="N136" s="113">
        <v>7816803.1900000004</v>
      </c>
      <c r="O136" s="741">
        <f t="shared" si="2"/>
        <v>0</v>
      </c>
      <c r="P136" s="78"/>
    </row>
    <row r="137" spans="1:16" ht="12" thickBot="1" x14ac:dyDescent="0.25">
      <c r="A137" s="978"/>
      <c r="B137" s="979"/>
      <c r="C137" s="85" t="s">
        <v>34</v>
      </c>
      <c r="D137" s="973" t="s">
        <v>345</v>
      </c>
      <c r="E137" s="974"/>
      <c r="F137" s="84">
        <f t="shared" si="3"/>
        <v>128</v>
      </c>
      <c r="G137" s="89">
        <f>a.4.Centralizat!H173</f>
        <v>1369516.4</v>
      </c>
      <c r="H137" s="89">
        <f>a.4.Centralizat!I173</f>
        <v>-145941.16</v>
      </c>
      <c r="I137" s="89">
        <f>a.4.Centralizat!J173</f>
        <v>-2400256.3199999998</v>
      </c>
      <c r="J137" s="89">
        <f>a.4.Centralizat!K173</f>
        <v>-102604.12</v>
      </c>
      <c r="K137" s="89">
        <f>a.4.Centralizat!L173</f>
        <v>4018318</v>
      </c>
      <c r="L137" s="89">
        <f>a.4.Centralizat!O173</f>
        <v>3426245</v>
      </c>
      <c r="M137" s="89">
        <v>3153885.35</v>
      </c>
      <c r="N137" s="113">
        <v>1369516.4</v>
      </c>
      <c r="O137" s="741">
        <f t="shared" si="2"/>
        <v>0</v>
      </c>
      <c r="P137" s="78"/>
    </row>
    <row r="138" spans="1:16" ht="23.25" customHeight="1" thickBot="1" x14ac:dyDescent="0.25">
      <c r="A138" s="978"/>
      <c r="B138" s="84"/>
      <c r="C138" s="84"/>
      <c r="D138" s="84" t="s">
        <v>51</v>
      </c>
      <c r="E138" s="85" t="s">
        <v>460</v>
      </c>
      <c r="F138" s="84">
        <f t="shared" si="3"/>
        <v>129</v>
      </c>
      <c r="G138" s="89">
        <f>a.4.Centralizat!H174</f>
        <v>4460000</v>
      </c>
      <c r="H138" s="89">
        <f>a.4.Centralizat!I174</f>
        <v>0</v>
      </c>
      <c r="I138" s="89">
        <f>a.4.Centralizat!J174</f>
        <v>0</v>
      </c>
      <c r="J138" s="89">
        <f>a.4.Centralizat!K174</f>
        <v>0</v>
      </c>
      <c r="K138" s="89">
        <f>a.4.Centralizat!L174</f>
        <v>4460000</v>
      </c>
      <c r="L138" s="89">
        <f>a.4.Centralizat!O174</f>
        <v>7000000</v>
      </c>
      <c r="M138" s="89">
        <v>6420000</v>
      </c>
      <c r="N138" s="113">
        <v>4460000</v>
      </c>
      <c r="O138" s="741">
        <f t="shared" si="2"/>
        <v>0</v>
      </c>
      <c r="P138" s="78"/>
    </row>
    <row r="139" spans="1:16" ht="23.25" thickBot="1" x14ac:dyDescent="0.25">
      <c r="A139" s="978"/>
      <c r="B139" s="84"/>
      <c r="C139" s="84"/>
      <c r="D139" s="107" t="s">
        <v>416</v>
      </c>
      <c r="E139" s="105" t="s">
        <v>417</v>
      </c>
      <c r="F139" s="84">
        <f t="shared" si="3"/>
        <v>130</v>
      </c>
      <c r="G139" s="89">
        <f>a.4.Centralizat!H175</f>
        <v>2300000</v>
      </c>
      <c r="H139" s="89">
        <f>a.4.Centralizat!I175</f>
        <v>0</v>
      </c>
      <c r="I139" s="89">
        <f>a.4.Centralizat!J175</f>
        <v>0</v>
      </c>
      <c r="J139" s="89">
        <f>a.4.Centralizat!K175</f>
        <v>0</v>
      </c>
      <c r="K139" s="89">
        <f>a.4.Centralizat!L175</f>
        <v>2300000</v>
      </c>
      <c r="L139" s="89">
        <f>a.4.Centralizat!O175</f>
        <v>2300000</v>
      </c>
      <c r="M139" s="89">
        <v>2300000</v>
      </c>
      <c r="N139" s="113">
        <v>2300000</v>
      </c>
      <c r="O139" s="741">
        <f t="shared" ref="O139:O163" si="4">G139-N139</f>
        <v>0</v>
      </c>
      <c r="P139" s="78"/>
    </row>
    <row r="140" spans="1:16" ht="12" thickBot="1" x14ac:dyDescent="0.25">
      <c r="A140" s="978"/>
      <c r="B140" s="84"/>
      <c r="C140" s="84"/>
      <c r="D140" s="107" t="s">
        <v>418</v>
      </c>
      <c r="E140" s="108" t="s">
        <v>419</v>
      </c>
      <c r="F140" s="109" t="s">
        <v>420</v>
      </c>
      <c r="G140" s="89">
        <f>a.4.Centralizat!H176</f>
        <v>0</v>
      </c>
      <c r="H140" s="89">
        <f>a.4.Centralizat!I176</f>
        <v>0</v>
      </c>
      <c r="I140" s="89">
        <f>a.4.Centralizat!J176</f>
        <v>0</v>
      </c>
      <c r="J140" s="89">
        <f>a.4.Centralizat!K176</f>
        <v>0</v>
      </c>
      <c r="K140" s="89">
        <f>a.4.Centralizat!L176</f>
        <v>0</v>
      </c>
      <c r="L140" s="89">
        <f>a.4.Centralizat!O176</f>
        <v>0</v>
      </c>
      <c r="M140" s="89"/>
      <c r="N140" s="113">
        <v>0</v>
      </c>
      <c r="O140" s="741">
        <f t="shared" si="4"/>
        <v>0</v>
      </c>
      <c r="P140" s="78"/>
    </row>
    <row r="141" spans="1:16" ht="23.25" thickBot="1" x14ac:dyDescent="0.25">
      <c r="A141" s="978"/>
      <c r="B141" s="84"/>
      <c r="C141" s="84"/>
      <c r="D141" s="110" t="s">
        <v>52</v>
      </c>
      <c r="E141" s="71" t="s">
        <v>346</v>
      </c>
      <c r="F141" s="84">
        <v>131</v>
      </c>
      <c r="G141" s="89">
        <f>a.4.Centralizat!H177</f>
        <v>3090483.6</v>
      </c>
      <c r="H141" s="89">
        <f>a.4.Centralizat!I177</f>
        <v>145941.16</v>
      </c>
      <c r="I141" s="89">
        <f>a.4.Centralizat!J177</f>
        <v>2400256.3199999998</v>
      </c>
      <c r="J141" s="89">
        <f>a.4.Centralizat!K177</f>
        <v>102604.12</v>
      </c>
      <c r="K141" s="89">
        <f>a.4.Centralizat!L177</f>
        <v>441682</v>
      </c>
      <c r="L141" s="89">
        <f>a.4.Centralizat!O177</f>
        <v>3573755</v>
      </c>
      <c r="M141" s="89">
        <v>3266114.65</v>
      </c>
      <c r="N141" s="113">
        <v>3090483.6</v>
      </c>
      <c r="O141" s="741">
        <f t="shared" si="4"/>
        <v>0</v>
      </c>
      <c r="P141" s="78"/>
    </row>
    <row r="142" spans="1:16" ht="23.25" thickBot="1" x14ac:dyDescent="0.25">
      <c r="A142" s="978"/>
      <c r="B142" s="84"/>
      <c r="C142" s="84"/>
      <c r="D142" s="110" t="s">
        <v>65</v>
      </c>
      <c r="E142" s="71" t="s">
        <v>459</v>
      </c>
      <c r="F142" s="84">
        <f t="shared" ref="F142:F151" si="5">F141+1</f>
        <v>132</v>
      </c>
      <c r="G142" s="89">
        <f>a.4.Centralizat!H178</f>
        <v>3090483.6</v>
      </c>
      <c r="H142" s="89">
        <f>a.4.Centralizat!I178</f>
        <v>145941.16</v>
      </c>
      <c r="I142" s="89">
        <f>a.4.Centralizat!J178</f>
        <v>2400256.3199999998</v>
      </c>
      <c r="J142" s="89">
        <f>a.4.Centralizat!K178</f>
        <v>102604.12</v>
      </c>
      <c r="K142" s="89">
        <f>a.4.Centralizat!L178</f>
        <v>441682</v>
      </c>
      <c r="L142" s="89">
        <f>a.4.Centralizat!O178</f>
        <v>3573755</v>
      </c>
      <c r="M142" s="89">
        <v>3266114.65</v>
      </c>
      <c r="N142" s="113">
        <v>3090483.6</v>
      </c>
      <c r="O142" s="741">
        <f t="shared" si="4"/>
        <v>0</v>
      </c>
      <c r="P142" s="78"/>
    </row>
    <row r="143" spans="1:16" ht="12" thickBot="1" x14ac:dyDescent="0.25">
      <c r="A143" s="978"/>
      <c r="B143" s="84"/>
      <c r="C143" s="84"/>
      <c r="D143" s="84"/>
      <c r="E143" s="85" t="s">
        <v>426</v>
      </c>
      <c r="F143" s="84">
        <f t="shared" si="5"/>
        <v>133</v>
      </c>
      <c r="G143" s="89">
        <f>a.4.Centralizat!H179</f>
        <v>2300000</v>
      </c>
      <c r="H143" s="89">
        <f>a.4.Centralizat!I179</f>
        <v>0</v>
      </c>
      <c r="I143" s="89">
        <f>a.4.Centralizat!J179</f>
        <v>2300000</v>
      </c>
      <c r="J143" s="89">
        <f>a.4.Centralizat!K179</f>
        <v>0</v>
      </c>
      <c r="K143" s="89">
        <f>a.4.Centralizat!L179</f>
        <v>0</v>
      </c>
      <c r="L143" s="89">
        <f>a.4.Centralizat!O179</f>
        <v>2100000</v>
      </c>
      <c r="M143" s="89">
        <v>2000000</v>
      </c>
      <c r="N143" s="113">
        <v>2300000</v>
      </c>
      <c r="O143" s="741">
        <f t="shared" si="4"/>
        <v>0</v>
      </c>
      <c r="P143" s="78"/>
    </row>
    <row r="144" spans="1:16" ht="23.25" thickBot="1" x14ac:dyDescent="0.25">
      <c r="A144" s="978"/>
      <c r="B144" s="84"/>
      <c r="C144" s="84"/>
      <c r="D144" s="84"/>
      <c r="E144" s="71" t="s">
        <v>347</v>
      </c>
      <c r="F144" s="84">
        <f t="shared" si="5"/>
        <v>134</v>
      </c>
      <c r="G144" s="89">
        <f>a.4.Centralizat!H180</f>
        <v>748006</v>
      </c>
      <c r="H144" s="89">
        <f>a.4.Centralizat!I180</f>
        <v>134854</v>
      </c>
      <c r="I144" s="89">
        <f>a.4.Centralizat!J180</f>
        <v>90824</v>
      </c>
      <c r="J144" s="89">
        <f>a.4.Centralizat!K180</f>
        <v>92125</v>
      </c>
      <c r="K144" s="89">
        <f>a.4.Centralizat!L180</f>
        <v>430203</v>
      </c>
      <c r="L144" s="89">
        <f>a.4.Centralizat!O180</f>
        <v>778982</v>
      </c>
      <c r="M144" s="89">
        <v>1266114.6499999999</v>
      </c>
      <c r="N144" s="113">
        <v>748006</v>
      </c>
      <c r="O144" s="741">
        <f t="shared" si="4"/>
        <v>0</v>
      </c>
      <c r="P144" s="78"/>
    </row>
    <row r="145" spans="1:16" ht="12" thickBot="1" x14ac:dyDescent="0.25">
      <c r="A145" s="978"/>
      <c r="B145" s="84"/>
      <c r="C145" s="84"/>
      <c r="D145" s="84"/>
      <c r="E145" s="85" t="s">
        <v>348</v>
      </c>
      <c r="F145" s="84">
        <f t="shared" si="5"/>
        <v>135</v>
      </c>
      <c r="G145" s="89">
        <f>a.4.Centralizat!H181</f>
        <v>42477.599999999999</v>
      </c>
      <c r="H145" s="89">
        <f>a.4.Centralizat!I181</f>
        <v>11087.16</v>
      </c>
      <c r="I145" s="89">
        <f>a.4.Centralizat!J181</f>
        <v>9432.32</v>
      </c>
      <c r="J145" s="89">
        <f>a.4.Centralizat!K181</f>
        <v>10479.120000000001</v>
      </c>
      <c r="K145" s="89">
        <f>a.4.Centralizat!L181</f>
        <v>11479</v>
      </c>
      <c r="L145" s="89">
        <f>a.4.Centralizat!O181</f>
        <v>694773</v>
      </c>
      <c r="M145" s="89">
        <v>0</v>
      </c>
      <c r="N145" s="113">
        <v>42477.599999999999</v>
      </c>
      <c r="O145" s="741">
        <f t="shared" si="4"/>
        <v>0</v>
      </c>
      <c r="P145" s="78"/>
    </row>
    <row r="146" spans="1:16" ht="18" customHeight="1" thickBot="1" x14ac:dyDescent="0.25">
      <c r="A146" s="978"/>
      <c r="B146" s="111" t="s">
        <v>21</v>
      </c>
      <c r="C146" s="111"/>
      <c r="D146" s="975" t="s">
        <v>471</v>
      </c>
      <c r="E146" s="976"/>
      <c r="F146" s="111">
        <f t="shared" si="5"/>
        <v>136</v>
      </c>
      <c r="G146" s="391">
        <f>a.4.Centralizat!H182</f>
        <v>1810000</v>
      </c>
      <c r="H146" s="391">
        <f>a.4.Centralizat!I182</f>
        <v>570000</v>
      </c>
      <c r="I146" s="391">
        <f>a.4.Centralizat!J182</f>
        <v>200000</v>
      </c>
      <c r="J146" s="391">
        <f>a.4.Centralizat!K182</f>
        <v>755000</v>
      </c>
      <c r="K146" s="391">
        <f>a.4.Centralizat!L182</f>
        <v>285000</v>
      </c>
      <c r="L146" s="391">
        <f>a.4.Centralizat!O182</f>
        <v>1789077</v>
      </c>
      <c r="M146" s="391">
        <v>2401179</v>
      </c>
      <c r="N146" s="739">
        <v>1810000</v>
      </c>
      <c r="O146" s="741">
        <f t="shared" si="4"/>
        <v>0</v>
      </c>
      <c r="P146" s="78"/>
    </row>
    <row r="147" spans="1:16" ht="12" thickBot="1" x14ac:dyDescent="0.25">
      <c r="A147" s="978"/>
      <c r="B147" s="977"/>
      <c r="C147" s="84" t="s">
        <v>27</v>
      </c>
      <c r="D147" s="980" t="s">
        <v>461</v>
      </c>
      <c r="E147" s="981"/>
      <c r="F147" s="84">
        <f t="shared" si="5"/>
        <v>137</v>
      </c>
      <c r="G147" s="89">
        <f>a.4.Centralizat!H183</f>
        <v>900000</v>
      </c>
      <c r="H147" s="89">
        <f>a.4.Centralizat!I183</f>
        <v>400000</v>
      </c>
      <c r="I147" s="89">
        <f>a.4.Centralizat!J183</f>
        <v>0</v>
      </c>
      <c r="J147" s="89">
        <f>a.4.Centralizat!K183</f>
        <v>500000</v>
      </c>
      <c r="K147" s="89">
        <f>a.4.Centralizat!L183</f>
        <v>0</v>
      </c>
      <c r="L147" s="89">
        <f>a.4.Centralizat!O183</f>
        <v>609618</v>
      </c>
      <c r="M147" s="89">
        <v>801179</v>
      </c>
      <c r="N147" s="113">
        <v>900000</v>
      </c>
      <c r="O147" s="741">
        <f t="shared" si="4"/>
        <v>0</v>
      </c>
      <c r="P147" s="78"/>
    </row>
    <row r="148" spans="1:16" ht="12" thickBot="1" x14ac:dyDescent="0.25">
      <c r="A148" s="978"/>
      <c r="B148" s="978"/>
      <c r="C148" s="84"/>
      <c r="D148" s="84" t="s">
        <v>237</v>
      </c>
      <c r="E148" s="85" t="s">
        <v>294</v>
      </c>
      <c r="F148" s="84">
        <f t="shared" si="5"/>
        <v>138</v>
      </c>
      <c r="G148" s="89">
        <f>a.4.Centralizat!H184</f>
        <v>900000</v>
      </c>
      <c r="H148" s="89">
        <f>a.4.Centralizat!I184</f>
        <v>400000</v>
      </c>
      <c r="I148" s="89">
        <f>a.4.Centralizat!J184</f>
        <v>0</v>
      </c>
      <c r="J148" s="89">
        <f>a.4.Centralizat!K184</f>
        <v>500000</v>
      </c>
      <c r="K148" s="89">
        <f>a.4.Centralizat!L184</f>
        <v>0</v>
      </c>
      <c r="L148" s="89">
        <f>a.4.Centralizat!O184</f>
        <v>609618</v>
      </c>
      <c r="M148" s="89">
        <v>801179</v>
      </c>
      <c r="N148" s="113">
        <v>900000</v>
      </c>
      <c r="O148" s="741">
        <f t="shared" si="4"/>
        <v>0</v>
      </c>
      <c r="P148" s="78"/>
    </row>
    <row r="149" spans="1:16" ht="12" thickBot="1" x14ac:dyDescent="0.25">
      <c r="A149" s="978"/>
      <c r="B149" s="978"/>
      <c r="C149" s="84"/>
      <c r="D149" s="84" t="s">
        <v>66</v>
      </c>
      <c r="E149" s="85" t="s">
        <v>349</v>
      </c>
      <c r="F149" s="84">
        <f t="shared" si="5"/>
        <v>139</v>
      </c>
      <c r="G149" s="89">
        <f>a.4.Centralizat!H185</f>
        <v>0</v>
      </c>
      <c r="H149" s="89">
        <f>a.4.Centralizat!I185</f>
        <v>0</v>
      </c>
      <c r="I149" s="89">
        <f>a.4.Centralizat!J185</f>
        <v>0</v>
      </c>
      <c r="J149" s="89">
        <f>a.4.Centralizat!K185</f>
        <v>0</v>
      </c>
      <c r="K149" s="89">
        <f>a.4.Centralizat!L185</f>
        <v>0</v>
      </c>
      <c r="L149" s="89">
        <f>a.4.Centralizat!O185</f>
        <v>0</v>
      </c>
      <c r="M149" s="89">
        <v>0</v>
      </c>
      <c r="N149" s="113">
        <v>0</v>
      </c>
      <c r="O149" s="741">
        <f t="shared" si="4"/>
        <v>0</v>
      </c>
      <c r="P149" s="78"/>
    </row>
    <row r="150" spans="1:16" ht="12" thickBot="1" x14ac:dyDescent="0.25">
      <c r="A150" s="978"/>
      <c r="B150" s="978"/>
      <c r="C150" s="84" t="s">
        <v>38</v>
      </c>
      <c r="D150" s="982" t="s">
        <v>440</v>
      </c>
      <c r="E150" s="983"/>
      <c r="F150" s="84">
        <f t="shared" si="5"/>
        <v>140</v>
      </c>
      <c r="G150" s="89">
        <f>a.4.Centralizat!H186</f>
        <v>660000</v>
      </c>
      <c r="H150" s="89">
        <f>a.4.Centralizat!I186</f>
        <v>120000</v>
      </c>
      <c r="I150" s="89">
        <f>a.4.Centralizat!J186</f>
        <v>140000</v>
      </c>
      <c r="J150" s="89">
        <f>a.4.Centralizat!K186</f>
        <v>180000</v>
      </c>
      <c r="K150" s="89">
        <f>a.4.Centralizat!L186</f>
        <v>220000</v>
      </c>
      <c r="L150" s="89">
        <f>a.4.Centralizat!O186</f>
        <v>938394</v>
      </c>
      <c r="M150" s="89">
        <v>1100000</v>
      </c>
      <c r="N150" s="113">
        <v>660000</v>
      </c>
      <c r="O150" s="741">
        <f t="shared" si="4"/>
        <v>0</v>
      </c>
      <c r="P150" s="78"/>
    </row>
    <row r="151" spans="1:16" ht="12" thickBot="1" x14ac:dyDescent="0.25">
      <c r="A151" s="978"/>
      <c r="B151" s="978"/>
      <c r="C151" s="84"/>
      <c r="D151" s="84" t="s">
        <v>76</v>
      </c>
      <c r="E151" s="85" t="s">
        <v>294</v>
      </c>
      <c r="F151" s="84">
        <f t="shared" si="5"/>
        <v>141</v>
      </c>
      <c r="G151" s="89">
        <f>a.4.Centralizat!H187</f>
        <v>660000</v>
      </c>
      <c r="H151" s="89">
        <f>a.4.Centralizat!I187</f>
        <v>120000</v>
      </c>
      <c r="I151" s="89">
        <f>a.4.Centralizat!J187</f>
        <v>140000</v>
      </c>
      <c r="J151" s="89">
        <f>a.4.Centralizat!K187</f>
        <v>180000</v>
      </c>
      <c r="K151" s="89">
        <f>a.4.Centralizat!L187</f>
        <v>220000</v>
      </c>
      <c r="L151" s="89">
        <f>a.4.Centralizat!O187</f>
        <v>938394</v>
      </c>
      <c r="M151" s="89">
        <v>1100000</v>
      </c>
      <c r="N151" s="113">
        <v>660000</v>
      </c>
      <c r="O151" s="741">
        <f t="shared" si="4"/>
        <v>0</v>
      </c>
      <c r="P151" s="78"/>
    </row>
    <row r="152" spans="1:16" ht="12" thickBot="1" x14ac:dyDescent="0.25">
      <c r="A152" s="978"/>
      <c r="B152" s="978"/>
      <c r="C152" s="84"/>
      <c r="D152" s="84" t="s">
        <v>99</v>
      </c>
      <c r="E152" s="85" t="s">
        <v>295</v>
      </c>
      <c r="F152" s="84">
        <f t="shared" ref="F152:F158" si="6">F151+1</f>
        <v>142</v>
      </c>
      <c r="G152" s="89">
        <f>a.4.Centralizat!H188</f>
        <v>0</v>
      </c>
      <c r="H152" s="89">
        <f>a.4.Centralizat!I188</f>
        <v>0</v>
      </c>
      <c r="I152" s="89">
        <f>a.4.Centralizat!J188</f>
        <v>0</v>
      </c>
      <c r="J152" s="89">
        <f>a.4.Centralizat!K188</f>
        <v>0</v>
      </c>
      <c r="K152" s="89">
        <f>a.4.Centralizat!L188</f>
        <v>0</v>
      </c>
      <c r="L152" s="89">
        <f>a.4.Centralizat!O188</f>
        <v>0</v>
      </c>
      <c r="M152" s="89">
        <v>0</v>
      </c>
      <c r="N152" s="113">
        <v>0</v>
      </c>
      <c r="O152" s="741">
        <f t="shared" si="4"/>
        <v>0</v>
      </c>
      <c r="P152" s="78"/>
    </row>
    <row r="153" spans="1:16" ht="12" thickBot="1" x14ac:dyDescent="0.25">
      <c r="A153" s="978"/>
      <c r="B153" s="979"/>
      <c r="C153" s="84" t="s">
        <v>40</v>
      </c>
      <c r="D153" s="984" t="s">
        <v>296</v>
      </c>
      <c r="E153" s="985"/>
      <c r="F153" s="84">
        <f t="shared" si="6"/>
        <v>143</v>
      </c>
      <c r="G153" s="89">
        <f>a.4.Centralizat!H189</f>
        <v>250000</v>
      </c>
      <c r="H153" s="89">
        <f>a.4.Centralizat!I189</f>
        <v>50000</v>
      </c>
      <c r="I153" s="89">
        <f>a.4.Centralizat!J189</f>
        <v>60000</v>
      </c>
      <c r="J153" s="89">
        <f>a.4.Centralizat!K189</f>
        <v>75000</v>
      </c>
      <c r="K153" s="89">
        <f>a.4.Centralizat!L189</f>
        <v>65000</v>
      </c>
      <c r="L153" s="89">
        <f>a.4.Centralizat!O189</f>
        <v>241065</v>
      </c>
      <c r="M153" s="89">
        <v>500000</v>
      </c>
      <c r="N153" s="113">
        <v>250000</v>
      </c>
      <c r="O153" s="741">
        <f t="shared" si="4"/>
        <v>0</v>
      </c>
      <c r="P153" s="78"/>
    </row>
    <row r="154" spans="1:16" ht="12" thickBot="1" x14ac:dyDescent="0.25">
      <c r="A154" s="979"/>
      <c r="B154" s="84" t="s">
        <v>17</v>
      </c>
      <c r="C154" s="116"/>
      <c r="D154" s="996" t="s">
        <v>129</v>
      </c>
      <c r="E154" s="997"/>
      <c r="F154" s="84">
        <f t="shared" si="6"/>
        <v>144</v>
      </c>
      <c r="G154" s="89">
        <f>a.4.Centralizat!H190</f>
        <v>0</v>
      </c>
      <c r="H154" s="89">
        <f>a.4.Centralizat!I190</f>
        <v>0</v>
      </c>
      <c r="I154" s="89">
        <f>a.4.Centralizat!J190</f>
        <v>0</v>
      </c>
      <c r="J154" s="89">
        <f>a.4.Centralizat!K190</f>
        <v>0</v>
      </c>
      <c r="K154" s="89">
        <f>a.4.Centralizat!L190</f>
        <v>0</v>
      </c>
      <c r="L154" s="89">
        <f>a.4.Centralizat!O190</f>
        <v>0</v>
      </c>
      <c r="M154" s="89">
        <v>0</v>
      </c>
      <c r="N154" s="113">
        <v>0</v>
      </c>
      <c r="O154" s="741">
        <f t="shared" si="4"/>
        <v>0</v>
      </c>
      <c r="P154" s="78"/>
    </row>
    <row r="155" spans="1:16" ht="12" thickBot="1" x14ac:dyDescent="0.25">
      <c r="A155" s="87" t="s">
        <v>130</v>
      </c>
      <c r="B155" s="87"/>
      <c r="C155" s="87"/>
      <c r="D155" s="968" t="s">
        <v>441</v>
      </c>
      <c r="E155" s="969"/>
      <c r="F155" s="284">
        <f t="shared" si="6"/>
        <v>145</v>
      </c>
      <c r="G155" s="285">
        <f>a.4.Centralizat!H191</f>
        <v>11909218.905120011</v>
      </c>
      <c r="H155" s="285">
        <f>a.4.Centralizat!I191</f>
        <v>5834498.1864799978</v>
      </c>
      <c r="I155" s="285">
        <f>a.4.Centralizat!J191</f>
        <v>5317015.6756599993</v>
      </c>
      <c r="J155" s="285">
        <f>a.4.Centralizat!K191</f>
        <v>2581024.3249199986</v>
      </c>
      <c r="K155" s="285">
        <f>a.4.Centralizat!L191</f>
        <v>-1823319.2819399976</v>
      </c>
      <c r="L155" s="285">
        <f>a.4.Centralizat!O191</f>
        <v>33560104.365480006</v>
      </c>
      <c r="M155" s="285">
        <v>21557110.070958659</v>
      </c>
      <c r="N155" s="354">
        <v>17588385.905120011</v>
      </c>
      <c r="O155" s="741">
        <f t="shared" si="4"/>
        <v>-5679167</v>
      </c>
      <c r="P155" s="78"/>
    </row>
    <row r="156" spans="1:16" ht="12" thickBot="1" x14ac:dyDescent="0.25">
      <c r="A156" s="87"/>
      <c r="B156" s="87"/>
      <c r="C156" s="87"/>
      <c r="D156" s="118"/>
      <c r="E156" s="118" t="s">
        <v>421</v>
      </c>
      <c r="F156" s="109">
        <v>146</v>
      </c>
      <c r="G156" s="285">
        <f>a.4.Centralizat!H192</f>
        <v>3090483.6</v>
      </c>
      <c r="H156" s="285">
        <f>a.4.Centralizat!I192</f>
        <v>145941.16</v>
      </c>
      <c r="I156" s="285">
        <f>a.4.Centralizat!J192</f>
        <v>2400256.3199999998</v>
      </c>
      <c r="J156" s="285">
        <f>a.4.Centralizat!K192</f>
        <v>102604.12</v>
      </c>
      <c r="K156" s="285">
        <f>a.4.Centralizat!L192</f>
        <v>441682</v>
      </c>
      <c r="L156" s="285">
        <f>a.4.Centralizat!O192</f>
        <v>3573755</v>
      </c>
      <c r="M156" s="285">
        <v>3266114.65</v>
      </c>
      <c r="N156" s="354">
        <v>3090483.6</v>
      </c>
      <c r="O156" s="741">
        <f t="shared" si="4"/>
        <v>0</v>
      </c>
      <c r="P156" s="78"/>
    </row>
    <row r="157" spans="1:16" ht="12" thickBot="1" x14ac:dyDescent="0.25">
      <c r="A157" s="84"/>
      <c r="B157" s="84"/>
      <c r="C157" s="84"/>
      <c r="D157" s="118"/>
      <c r="E157" s="118" t="s">
        <v>297</v>
      </c>
      <c r="F157" s="109">
        <v>147</v>
      </c>
      <c r="G157" s="89">
        <f>a.4.Centralizat!H193</f>
        <v>4460000</v>
      </c>
      <c r="H157" s="89">
        <f>a.4.Centralizat!I193</f>
        <v>0</v>
      </c>
      <c r="I157" s="89">
        <f>a.4.Centralizat!J193</f>
        <v>0</v>
      </c>
      <c r="J157" s="89">
        <f>a.4.Centralizat!K193</f>
        <v>0</v>
      </c>
      <c r="K157" s="89">
        <f>a.4.Centralizat!L193</f>
        <v>4460000</v>
      </c>
      <c r="L157" s="89">
        <f>a.4.Centralizat!O193</f>
        <v>7000000</v>
      </c>
      <c r="M157" s="89">
        <v>6420000</v>
      </c>
      <c r="N157" s="113">
        <v>4460000</v>
      </c>
      <c r="O157" s="741">
        <f t="shared" si="4"/>
        <v>0</v>
      </c>
      <c r="P157" s="78"/>
    </row>
    <row r="158" spans="1:16" ht="12" thickBot="1" x14ac:dyDescent="0.25">
      <c r="A158" s="87" t="s">
        <v>132</v>
      </c>
      <c r="B158" s="87"/>
      <c r="C158" s="87"/>
      <c r="D158" s="968" t="s">
        <v>133</v>
      </c>
      <c r="E158" s="969"/>
      <c r="F158" s="284">
        <f t="shared" si="6"/>
        <v>148</v>
      </c>
      <c r="G158" s="285">
        <f>SUM(H158:K158)</f>
        <v>2399952.4008191996</v>
      </c>
      <c r="H158" s="285">
        <f>(H155+H156)*16%</f>
        <v>956870.29543679964</v>
      </c>
      <c r="I158" s="285">
        <f t="shared" ref="I158:K158" si="7">(I155+I156)*16%</f>
        <v>1234763.5193055999</v>
      </c>
      <c r="J158" s="285">
        <f t="shared" si="7"/>
        <v>429380.55118719983</v>
      </c>
      <c r="K158" s="285">
        <f t="shared" si="7"/>
        <v>-221061.96511039961</v>
      </c>
      <c r="L158" s="285">
        <f>a.4.Centralizat!O194</f>
        <v>6542374.7784767998</v>
      </c>
      <c r="M158" s="285">
        <v>4476337.6113533853</v>
      </c>
      <c r="N158" s="354">
        <v>3308619.1208191994</v>
      </c>
      <c r="O158" s="741">
        <f t="shared" si="4"/>
        <v>-908666.71999999974</v>
      </c>
      <c r="P158" s="78"/>
    </row>
    <row r="159" spans="1:16" ht="12" thickBot="1" x14ac:dyDescent="0.25">
      <c r="A159" s="538"/>
      <c r="B159" s="539"/>
      <c r="C159" s="539"/>
      <c r="D159" s="539"/>
      <c r="E159" s="539"/>
      <c r="F159" s="540"/>
      <c r="G159" s="285"/>
      <c r="H159" s="285"/>
      <c r="I159" s="285"/>
      <c r="J159" s="285"/>
      <c r="K159" s="285"/>
      <c r="L159" s="285">
        <f>a.4.Centralizat!O195</f>
        <v>27347467.587003198</v>
      </c>
      <c r="M159" s="285"/>
      <c r="N159" s="354"/>
      <c r="O159" s="741">
        <f t="shared" si="4"/>
        <v>0</v>
      </c>
      <c r="P159" s="78"/>
    </row>
    <row r="160" spans="1:16" ht="12" thickBot="1" x14ac:dyDescent="0.25">
      <c r="A160" s="392" t="s">
        <v>134</v>
      </c>
      <c r="B160" s="119"/>
      <c r="C160" s="120"/>
      <c r="D160" s="970" t="s">
        <v>422</v>
      </c>
      <c r="E160" s="971"/>
      <c r="F160" s="121">
        <v>149</v>
      </c>
      <c r="G160" s="89">
        <f>a.4.Centralizat!H196</f>
        <v>0</v>
      </c>
      <c r="H160" s="89">
        <f>a.4.Centralizat!I196</f>
        <v>0</v>
      </c>
      <c r="I160" s="89">
        <f>a.4.Centralizat!J196</f>
        <v>0</v>
      </c>
      <c r="J160" s="89">
        <f>a.4.Centralizat!K196</f>
        <v>0</v>
      </c>
      <c r="K160" s="89">
        <f>a.4.Centralizat!L196</f>
        <v>0</v>
      </c>
      <c r="L160" s="89">
        <f>a.4.Centralizat!O196</f>
        <v>0</v>
      </c>
      <c r="M160" s="89"/>
      <c r="N160" s="113">
        <v>0</v>
      </c>
      <c r="O160" s="741">
        <f t="shared" si="4"/>
        <v>0</v>
      </c>
    </row>
    <row r="161" spans="1:16" ht="12" thickBot="1" x14ac:dyDescent="0.25">
      <c r="A161" s="393" t="s">
        <v>141</v>
      </c>
      <c r="B161" s="119"/>
      <c r="C161" s="123"/>
      <c r="D161" s="970" t="s">
        <v>423</v>
      </c>
      <c r="E161" s="971"/>
      <c r="F161" s="121">
        <v>150</v>
      </c>
      <c r="G161" s="89">
        <f>a.4.Centralizat!H197</f>
        <v>0</v>
      </c>
      <c r="H161" s="89">
        <f>a.4.Centralizat!I197</f>
        <v>0</v>
      </c>
      <c r="I161" s="89">
        <f>a.4.Centralizat!J197</f>
        <v>0</v>
      </c>
      <c r="J161" s="89">
        <f>a.4.Centralizat!K197</f>
        <v>0</v>
      </c>
      <c r="K161" s="89">
        <f>a.4.Centralizat!L197</f>
        <v>0</v>
      </c>
      <c r="L161" s="89">
        <f>a.4.Centralizat!O197</f>
        <v>0</v>
      </c>
      <c r="M161" s="89"/>
      <c r="N161" s="113">
        <v>0</v>
      </c>
      <c r="O161" s="741">
        <f t="shared" si="4"/>
        <v>0</v>
      </c>
    </row>
    <row r="162" spans="1:16" ht="12" thickBot="1" x14ac:dyDescent="0.25">
      <c r="A162" s="394" t="s">
        <v>143</v>
      </c>
      <c r="B162" s="122"/>
      <c r="C162" s="122"/>
      <c r="D162" s="258" t="s">
        <v>424</v>
      </c>
      <c r="E162" s="258"/>
      <c r="F162" s="251">
        <v>151</v>
      </c>
      <c r="G162" s="89">
        <f>a.4.Centralizat!H198</f>
        <v>0</v>
      </c>
      <c r="H162" s="89">
        <f>a.4.Centralizat!I198</f>
        <v>0</v>
      </c>
      <c r="I162" s="89">
        <f>a.4.Centralizat!J198</f>
        <v>0</v>
      </c>
      <c r="J162" s="89">
        <f>a.4.Centralizat!K198</f>
        <v>0</v>
      </c>
      <c r="K162" s="89">
        <f>a.4.Centralizat!L198</f>
        <v>0</v>
      </c>
      <c r="L162" s="89">
        <f>a.4.Centralizat!O198</f>
        <v>0</v>
      </c>
      <c r="M162" s="89"/>
      <c r="N162" s="113">
        <v>0</v>
      </c>
      <c r="O162" s="741">
        <f t="shared" si="4"/>
        <v>0</v>
      </c>
    </row>
    <row r="163" spans="1:16" s="52" customFormat="1" ht="12" thickBot="1" x14ac:dyDescent="0.25">
      <c r="A163" s="395" t="s">
        <v>150</v>
      </c>
      <c r="B163" s="343"/>
      <c r="C163" s="343"/>
      <c r="D163" s="972" t="s">
        <v>425</v>
      </c>
      <c r="E163" s="972"/>
      <c r="F163" s="342">
        <v>152</v>
      </c>
      <c r="G163" s="89">
        <f>a.4.Centralizat!H199</f>
        <v>0</v>
      </c>
      <c r="H163" s="89">
        <f>a.4.Centralizat!I199</f>
        <v>0</v>
      </c>
      <c r="I163" s="89">
        <f>a.4.Centralizat!J199</f>
        <v>0</v>
      </c>
      <c r="J163" s="89">
        <f>a.4.Centralizat!K199</f>
        <v>0</v>
      </c>
      <c r="K163" s="89">
        <f>a.4.Centralizat!L199</f>
        <v>0</v>
      </c>
      <c r="L163" s="89">
        <f>a.4.Centralizat!O199</f>
        <v>0</v>
      </c>
      <c r="M163" s="89"/>
      <c r="N163" s="113">
        <v>0</v>
      </c>
      <c r="O163" s="741">
        <f t="shared" si="4"/>
        <v>0</v>
      </c>
      <c r="P163" s="76"/>
    </row>
    <row r="164" spans="1:16" s="76" customFormat="1" x14ac:dyDescent="0.2">
      <c r="E164" s="966"/>
      <c r="F164" s="966"/>
      <c r="G164" s="78"/>
      <c r="H164" s="78"/>
      <c r="I164" s="78"/>
      <c r="J164" s="78"/>
      <c r="K164" s="78"/>
    </row>
    <row r="165" spans="1:16" s="76" customFormat="1" ht="11.25" customHeight="1" x14ac:dyDescent="0.2">
      <c r="E165" s="966"/>
      <c r="F165" s="966"/>
      <c r="G165" s="78"/>
      <c r="H165" s="78"/>
      <c r="I165" s="78"/>
      <c r="J165" s="78"/>
      <c r="K165" s="78"/>
    </row>
    <row r="166" spans="1:16" s="76" customFormat="1" ht="12" customHeight="1" x14ac:dyDescent="0.2">
      <c r="E166" s="967"/>
      <c r="F166" s="967"/>
      <c r="G166" s="78"/>
      <c r="H166" s="78"/>
      <c r="I166" s="78"/>
      <c r="J166" s="78"/>
      <c r="K166" s="78"/>
    </row>
    <row r="167" spans="1:16" s="76" customFormat="1" x14ac:dyDescent="0.2">
      <c r="E167" s="77"/>
      <c r="F167" s="77"/>
      <c r="G167" s="257"/>
      <c r="H167" s="257"/>
      <c r="I167" s="257"/>
      <c r="J167" s="257"/>
      <c r="K167" s="257"/>
    </row>
    <row r="168" spans="1:16" s="76" customFormat="1" x14ac:dyDescent="0.2"/>
    <row r="169" spans="1:16" s="76" customFormat="1" x14ac:dyDescent="0.2">
      <c r="G169" s="259"/>
      <c r="H169" s="259"/>
      <c r="I169" s="259"/>
      <c r="J169" s="259"/>
      <c r="K169" s="259"/>
    </row>
    <row r="170" spans="1:16" s="76" customFormat="1" x14ac:dyDescent="0.2">
      <c r="E170" s="260"/>
      <c r="F170" s="261"/>
      <c r="G170" s="74"/>
      <c r="H170" s="74"/>
      <c r="I170" s="74"/>
      <c r="J170" s="74"/>
      <c r="K170" s="74"/>
    </row>
    <row r="171" spans="1:16" s="76" customFormat="1" x14ac:dyDescent="0.2">
      <c r="E171" s="260"/>
      <c r="F171" s="261"/>
      <c r="G171" s="74"/>
      <c r="H171" s="74"/>
      <c r="I171" s="74"/>
      <c r="J171" s="74"/>
      <c r="K171" s="74"/>
    </row>
    <row r="172" spans="1:16" s="76" customFormat="1" x14ac:dyDescent="0.2">
      <c r="E172" s="262"/>
      <c r="F172" s="263"/>
      <c r="G172" s="74"/>
      <c r="H172" s="74"/>
      <c r="I172" s="74"/>
      <c r="J172" s="74"/>
      <c r="K172" s="74"/>
    </row>
    <row r="177" spans="5:7" x14ac:dyDescent="0.2">
      <c r="E177" s="51" t="s">
        <v>373</v>
      </c>
      <c r="G177" s="51" t="s">
        <v>374</v>
      </c>
    </row>
    <row r="178" spans="5:7" x14ac:dyDescent="0.2">
      <c r="E178" s="51" t="s">
        <v>375</v>
      </c>
      <c r="G178" s="51" t="s">
        <v>376</v>
      </c>
    </row>
  </sheetData>
  <mergeCells count="120">
    <mergeCell ref="A1:D1"/>
    <mergeCell ref="A2:D2"/>
    <mergeCell ref="A3:D3"/>
    <mergeCell ref="A8:B8"/>
    <mergeCell ref="B10:E10"/>
    <mergeCell ref="A11:A37"/>
    <mergeCell ref="C11:E11"/>
    <mergeCell ref="B12:B22"/>
    <mergeCell ref="D12:E12"/>
    <mergeCell ref="D17:E17"/>
    <mergeCell ref="B32:B36"/>
    <mergeCell ref="D32:E32"/>
    <mergeCell ref="D33:E33"/>
    <mergeCell ref="D34:E34"/>
    <mergeCell ref="D35:E35"/>
    <mergeCell ref="D36:E36"/>
    <mergeCell ref="D18:E18"/>
    <mergeCell ref="C19:C20"/>
    <mergeCell ref="D21:E21"/>
    <mergeCell ref="D22:E22"/>
    <mergeCell ref="D23:E23"/>
    <mergeCell ref="D31:E31"/>
    <mergeCell ref="A52:A92"/>
    <mergeCell ref="B52:B92"/>
    <mergeCell ref="D54:E54"/>
    <mergeCell ref="D55:E55"/>
    <mergeCell ref="D56:E56"/>
    <mergeCell ref="D37:E37"/>
    <mergeCell ref="B38:E38"/>
    <mergeCell ref="A39:A51"/>
    <mergeCell ref="C39:E39"/>
    <mergeCell ref="B40:B51"/>
    <mergeCell ref="C40:E40"/>
    <mergeCell ref="D41:E41"/>
    <mergeCell ref="D42:E42"/>
    <mergeCell ref="D43:E43"/>
    <mergeCell ref="D46:E46"/>
    <mergeCell ref="D57:E57"/>
    <mergeCell ref="D58:E58"/>
    <mergeCell ref="D59:E59"/>
    <mergeCell ref="D66:E66"/>
    <mergeCell ref="D71:E71"/>
    <mergeCell ref="D72:E72"/>
    <mergeCell ref="D47:E47"/>
    <mergeCell ref="D48:E48"/>
    <mergeCell ref="D49:E49"/>
    <mergeCell ref="D100:E100"/>
    <mergeCell ref="D101:E101"/>
    <mergeCell ref="D102:E102"/>
    <mergeCell ref="D105:E105"/>
    <mergeCell ref="D106:E106"/>
    <mergeCell ref="D107:E107"/>
    <mergeCell ref="D50:E50"/>
    <mergeCell ref="D51:E51"/>
    <mergeCell ref="D87:E87"/>
    <mergeCell ref="C88:E88"/>
    <mergeCell ref="D89:E89"/>
    <mergeCell ref="D90:E90"/>
    <mergeCell ref="D91:E91"/>
    <mergeCell ref="D92:E92"/>
    <mergeCell ref="D73:E73"/>
    <mergeCell ref="D74:E74"/>
    <mergeCell ref="D75:E75"/>
    <mergeCell ref="D76:E76"/>
    <mergeCell ref="D77:E77"/>
    <mergeCell ref="D78:E78"/>
    <mergeCell ref="D114:E114"/>
    <mergeCell ref="D117:E117"/>
    <mergeCell ref="D120:E120"/>
    <mergeCell ref="D121:E121"/>
    <mergeCell ref="D122:E122"/>
    <mergeCell ref="D108:E108"/>
    <mergeCell ref="D109:E109"/>
    <mergeCell ref="D110:E110"/>
    <mergeCell ref="D111:E111"/>
    <mergeCell ref="D112:E112"/>
    <mergeCell ref="D113:E113"/>
    <mergeCell ref="A134:A154"/>
    <mergeCell ref="B134:B137"/>
    <mergeCell ref="D134:E134"/>
    <mergeCell ref="D135:E135"/>
    <mergeCell ref="D136:E136"/>
    <mergeCell ref="A93:A133"/>
    <mergeCell ref="B93:B133"/>
    <mergeCell ref="D93:E93"/>
    <mergeCell ref="D94:E94"/>
    <mergeCell ref="C95:E95"/>
    <mergeCell ref="D96:E96"/>
    <mergeCell ref="D97:E97"/>
    <mergeCell ref="C98:C100"/>
    <mergeCell ref="D98:E98"/>
    <mergeCell ref="D99:E99"/>
    <mergeCell ref="D154:E154"/>
    <mergeCell ref="C123:C128"/>
    <mergeCell ref="D123:E123"/>
    <mergeCell ref="D124:E124"/>
    <mergeCell ref="D125:E125"/>
    <mergeCell ref="D126:E126"/>
    <mergeCell ref="D127:E127"/>
    <mergeCell ref="D128:E128"/>
    <mergeCell ref="C114:C120"/>
    <mergeCell ref="B147:B153"/>
    <mergeCell ref="D147:E147"/>
    <mergeCell ref="D150:E150"/>
    <mergeCell ref="D153:E153"/>
    <mergeCell ref="C129:E129"/>
    <mergeCell ref="D130:E130"/>
    <mergeCell ref="D131:E131"/>
    <mergeCell ref="D132:E132"/>
    <mergeCell ref="D133:E133"/>
    <mergeCell ref="E164:F164"/>
    <mergeCell ref="E165:F165"/>
    <mergeCell ref="E166:F166"/>
    <mergeCell ref="D155:E155"/>
    <mergeCell ref="D158:E158"/>
    <mergeCell ref="D160:E160"/>
    <mergeCell ref="D161:E161"/>
    <mergeCell ref="D163:E163"/>
    <mergeCell ref="D137:E137"/>
    <mergeCell ref="D146:E146"/>
  </mergeCells>
  <pageMargins left="0.31496062992125984" right="0" top="0.19685039370078741" bottom="0.19685039370078741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0"/>
  <sheetViews>
    <sheetView topLeftCell="D184" workbookViewId="0">
      <selection activeCell="Q191" sqref="Q191"/>
    </sheetView>
  </sheetViews>
  <sheetFormatPr defaultRowHeight="12.75" x14ac:dyDescent="0.2"/>
  <cols>
    <col min="1" max="1" width="5.140625" customWidth="1"/>
    <col min="2" max="2" width="3.7109375" customWidth="1"/>
    <col min="3" max="3" width="6.85546875" customWidth="1"/>
    <col min="5" max="5" width="34.7109375" customWidth="1"/>
    <col min="6" max="6" width="13.7109375" customWidth="1"/>
    <col min="8" max="8" width="9.85546875" bestFit="1" customWidth="1"/>
    <col min="9" max="11" width="10.42578125" bestFit="1" customWidth="1"/>
    <col min="12" max="12" width="11.140625" bestFit="1" customWidth="1"/>
    <col min="13" max="13" width="10.7109375" customWidth="1"/>
    <col min="14" max="14" width="10" customWidth="1"/>
    <col min="15" max="15" width="12.7109375" customWidth="1"/>
    <col min="16" max="16" width="12.85546875" customWidth="1"/>
    <col min="17" max="17" width="10.140625" bestFit="1" customWidth="1"/>
  </cols>
  <sheetData>
    <row r="1" spans="1:17" x14ac:dyDescent="0.2">
      <c r="A1" s="938" t="s">
        <v>0</v>
      </c>
      <c r="B1" s="938"/>
      <c r="C1" s="938"/>
      <c r="D1" s="938"/>
    </row>
    <row r="2" spans="1:17" x14ac:dyDescent="0.2">
      <c r="A2" s="938" t="s">
        <v>1</v>
      </c>
      <c r="B2" s="938"/>
      <c r="C2" s="938"/>
      <c r="D2" s="938"/>
      <c r="E2" s="272"/>
      <c r="F2" s="272"/>
      <c r="G2" s="51"/>
      <c r="H2" s="51"/>
      <c r="I2" s="51"/>
      <c r="J2" s="53" t="s">
        <v>11</v>
      </c>
      <c r="K2" s="51"/>
      <c r="L2" s="51"/>
      <c r="M2" s="51"/>
      <c r="N2" s="51"/>
    </row>
    <row r="3" spans="1:17" x14ac:dyDescent="0.2">
      <c r="A3" s="938" t="s">
        <v>2</v>
      </c>
      <c r="B3" s="938"/>
      <c r="C3" s="938"/>
      <c r="D3" s="938"/>
      <c r="E3" s="272"/>
      <c r="F3" s="272"/>
      <c r="G3" s="51"/>
      <c r="H3" s="51"/>
      <c r="I3" s="51"/>
      <c r="J3" s="51"/>
      <c r="K3" s="51"/>
      <c r="L3" s="51"/>
      <c r="M3" s="51"/>
      <c r="N3" s="51"/>
    </row>
    <row r="4" spans="1:17" x14ac:dyDescent="0.2">
      <c r="A4" s="272"/>
      <c r="B4" s="272"/>
      <c r="C4" s="272"/>
      <c r="D4" s="51"/>
      <c r="E4" s="82" t="s">
        <v>3</v>
      </c>
      <c r="F4" s="82"/>
      <c r="G4" s="83"/>
      <c r="H4" s="83"/>
      <c r="I4" s="83"/>
      <c r="J4" s="83"/>
      <c r="K4" s="83"/>
      <c r="L4" s="51">
        <v>1000</v>
      </c>
      <c r="M4" s="51"/>
      <c r="N4" s="51"/>
    </row>
    <row r="5" spans="1:17" x14ac:dyDescent="0.2">
      <c r="A5" s="272"/>
      <c r="B5" s="272"/>
      <c r="C5" s="272"/>
      <c r="D5" s="83"/>
      <c r="E5" s="83" t="s">
        <v>655</v>
      </c>
      <c r="F5" s="83"/>
      <c r="G5" s="83"/>
      <c r="H5" s="83"/>
      <c r="I5" s="83"/>
      <c r="J5" s="83"/>
      <c r="K5" s="51"/>
      <c r="L5" s="51"/>
      <c r="M5" s="51"/>
      <c r="N5" s="51"/>
    </row>
    <row r="6" spans="1:17" x14ac:dyDescent="0.2">
      <c r="A6" s="272"/>
      <c r="B6" s="272"/>
      <c r="C6" s="272"/>
      <c r="D6" s="83"/>
      <c r="E6" s="83"/>
      <c r="F6" s="83"/>
      <c r="G6" s="83"/>
      <c r="H6" s="83"/>
      <c r="I6" s="83"/>
      <c r="J6" s="83"/>
      <c r="K6" s="51"/>
      <c r="L6" s="51"/>
      <c r="M6" s="51"/>
      <c r="N6" s="51"/>
    </row>
    <row r="7" spans="1:17" ht="13.5" thickBot="1" x14ac:dyDescent="0.25">
      <c r="A7" s="272"/>
      <c r="B7" s="272"/>
      <c r="C7" s="272"/>
      <c r="D7" s="83"/>
      <c r="E7" s="272"/>
      <c r="F7" s="272"/>
      <c r="G7" s="83"/>
      <c r="H7" s="83"/>
      <c r="I7" s="83"/>
      <c r="J7" s="83"/>
      <c r="K7" s="51"/>
      <c r="L7" s="51"/>
      <c r="M7" s="51"/>
      <c r="N7" s="51"/>
    </row>
    <row r="8" spans="1:17" ht="34.5" thickBot="1" x14ac:dyDescent="0.25">
      <c r="A8" s="980" t="s">
        <v>308</v>
      </c>
      <c r="B8" s="981"/>
      <c r="C8" s="84"/>
      <c r="D8" s="84"/>
      <c r="E8" s="85" t="s">
        <v>15</v>
      </c>
      <c r="F8" s="85" t="s">
        <v>551</v>
      </c>
      <c r="G8" s="84" t="s">
        <v>309</v>
      </c>
      <c r="H8" s="86" t="s">
        <v>661</v>
      </c>
      <c r="I8" s="84" t="s">
        <v>310</v>
      </c>
      <c r="J8" s="84" t="s">
        <v>311</v>
      </c>
      <c r="K8" s="84" t="s">
        <v>312</v>
      </c>
      <c r="L8" s="84" t="s">
        <v>313</v>
      </c>
      <c r="M8" s="516" t="s">
        <v>679</v>
      </c>
      <c r="N8" s="516" t="s">
        <v>680</v>
      </c>
      <c r="O8" s="379" t="s">
        <v>658</v>
      </c>
      <c r="P8" s="689" t="s">
        <v>661</v>
      </c>
      <c r="Q8" s="735" t="s">
        <v>689</v>
      </c>
    </row>
    <row r="9" spans="1:17" ht="13.5" thickBot="1" x14ac:dyDescent="0.25">
      <c r="A9" s="84" t="s">
        <v>30</v>
      </c>
      <c r="B9" s="84"/>
      <c r="C9" s="84"/>
      <c r="D9" s="84"/>
      <c r="E9" s="85" t="s">
        <v>4</v>
      </c>
      <c r="F9" s="281"/>
      <c r="G9" s="84" t="s">
        <v>314</v>
      </c>
      <c r="H9" s="84" t="s">
        <v>21</v>
      </c>
      <c r="I9" s="84" t="s">
        <v>17</v>
      </c>
      <c r="J9" s="84" t="s">
        <v>18</v>
      </c>
      <c r="K9" s="84" t="s">
        <v>24</v>
      </c>
      <c r="L9" s="84" t="s">
        <v>19</v>
      </c>
      <c r="M9" s="501"/>
      <c r="N9" s="501"/>
      <c r="O9" s="388">
        <v>7</v>
      </c>
      <c r="P9" s="688" t="s">
        <v>21</v>
      </c>
      <c r="Q9" s="723"/>
    </row>
    <row r="10" spans="1:17" ht="13.5" thickBot="1" x14ac:dyDescent="0.25">
      <c r="A10" s="87" t="s">
        <v>215</v>
      </c>
      <c r="B10" s="968" t="s">
        <v>462</v>
      </c>
      <c r="C10" s="1011"/>
      <c r="D10" s="1011"/>
      <c r="E10" s="969"/>
      <c r="F10" s="274"/>
      <c r="G10" s="87" t="s">
        <v>4</v>
      </c>
      <c r="H10" s="415">
        <f>a.4.Timisoara!I10+a.4.Loc.TM!I10+a.4.Deta!I10+a.4.Jimbolia!I10+a.4.Sannicolau!I10+a.4.Faget!I10+a.4.Buzias!I10</f>
        <v>138839553.764</v>
      </c>
      <c r="I10" s="415">
        <f>a.4.Timisoara!J10+a.4.Loc.TM!J10+a.4.Deta!J10+a.4.Jimbolia!J10+a.4.Sannicolau!J10+a.4.Faget!J10+a.4.Buzias!J10</f>
        <v>32662687.360999998</v>
      </c>
      <c r="J10" s="415">
        <f>a.4.Timisoara!K10+a.4.Loc.TM!K10+a.4.Deta!K10+a.4.Jimbolia!K10+a.4.Sannicolau!K10+a.4.Faget!K10+a.4.Buzias!K10</f>
        <v>35347244.901000001</v>
      </c>
      <c r="K10" s="415">
        <f>a.4.Timisoara!L10+a.4.Loc.TM!L10+a.4.Deta!L10+a.4.Jimbolia!L10+a.4.Sannicolau!L10+a.4.Faget!L10+a.4.Buzias!L10</f>
        <v>35642488.180999994</v>
      </c>
      <c r="L10" s="415">
        <f>a.4.Timisoara!M10+a.4.Loc.TM!M10+a.4.Deta!M10+a.4.Jimbolia!M10+a.4.Sannicolau!M10+a.4.Faget!M10+a.4.Buzias!M10</f>
        <v>35187133.320999995</v>
      </c>
      <c r="M10" s="415">
        <f t="shared" ref="M10:O10" si="0">M11+M34+M40</f>
        <v>129974651</v>
      </c>
      <c r="N10" s="415">
        <f t="shared" ref="N10" si="1">N11+N34+N40</f>
        <v>12430928</v>
      </c>
      <c r="O10" s="415">
        <f t="shared" si="0"/>
        <v>142405579</v>
      </c>
      <c r="P10" s="416">
        <v>138839553.764</v>
      </c>
      <c r="Q10" s="114">
        <f>H10-P10</f>
        <v>0</v>
      </c>
    </row>
    <row r="11" spans="1:17" ht="13.5" thickBot="1" x14ac:dyDescent="0.25">
      <c r="A11" s="977"/>
      <c r="B11" s="282" t="s">
        <v>4</v>
      </c>
      <c r="C11" s="1015" t="s">
        <v>113</v>
      </c>
      <c r="D11" s="1016"/>
      <c r="E11" s="1017"/>
      <c r="F11" s="283"/>
      <c r="G11" s="284">
        <f>G10+1</f>
        <v>2</v>
      </c>
      <c r="H11" s="415">
        <f>a.4.Timisoara!I11+a.4.Loc.TM!I11+a.4.Deta!I11+a.4.Jimbolia!I11+a.4.Sannicolau!I11+a.4.Faget!I11+a.4.Buzias!I11</f>
        <v>137889496.09</v>
      </c>
      <c r="I11" s="415">
        <f>a.4.Timisoara!J11+a.4.Loc.TM!J11+a.4.Deta!J11+a.4.Jimbolia!J11+a.4.Sannicolau!J11+a.4.Faget!J11+a.4.Buzias!J11</f>
        <v>32362674.555</v>
      </c>
      <c r="J11" s="415">
        <f>a.4.Timisoara!K11+a.4.Loc.TM!K11+a.4.Deta!K11+a.4.Jimbolia!K11+a.4.Sannicolau!K11+a.4.Faget!K11+a.4.Buzias!K11</f>
        <v>35097230.835000001</v>
      </c>
      <c r="K11" s="415">
        <f>a.4.Timisoara!L11+a.4.Loc.TM!L11+a.4.Deta!L11+a.4.Jimbolia!L11+a.4.Sannicolau!L11+a.4.Faget!L11+a.4.Buzias!L11</f>
        <v>35442472.554999992</v>
      </c>
      <c r="L11" s="415">
        <f>a.4.Timisoara!M11+a.4.Loc.TM!M11+a.4.Deta!M11+a.4.Jimbolia!M11+a.4.Sannicolau!M11+a.4.Faget!M11+a.4.Buzias!M11</f>
        <v>34987118.144999996</v>
      </c>
      <c r="M11" s="417">
        <f t="shared" ref="M11:O11" si="2">M12+M20+M21+M24+M25+M26</f>
        <v>128358543</v>
      </c>
      <c r="N11" s="417">
        <f t="shared" ref="N11" si="3">N12+N20+N21+N24+N25+N26</f>
        <v>12258991</v>
      </c>
      <c r="O11" s="417">
        <f t="shared" si="2"/>
        <v>140617534</v>
      </c>
      <c r="P11" s="416">
        <v>137889496.09</v>
      </c>
      <c r="Q11" s="114">
        <f t="shared" ref="Q11:Q74" si="4">H11-P11</f>
        <v>0</v>
      </c>
    </row>
    <row r="12" spans="1:17" ht="22.5" customHeight="1" thickBot="1" x14ac:dyDescent="0.25">
      <c r="A12" s="978"/>
      <c r="B12" s="1018"/>
      <c r="C12" s="71" t="s">
        <v>27</v>
      </c>
      <c r="D12" s="973" t="s">
        <v>315</v>
      </c>
      <c r="E12" s="974"/>
      <c r="F12" s="275">
        <v>70</v>
      </c>
      <c r="G12" s="84">
        <f>G11+1</f>
        <v>3</v>
      </c>
      <c r="H12" s="432">
        <f>a.4.Timisoara!I12+a.4.Loc.TM!I12+a.4.Deta!I12+a.4.Jimbolia!I12+a.4.Sannicolau!I12+a.4.Faget!I12+a.4.Buzias!I12</f>
        <v>134459088.558</v>
      </c>
      <c r="I12" s="432">
        <f>a.4.Timisoara!J12+a.4.Loc.TM!J12+a.4.Deta!J12+a.4.Jimbolia!J12+a.4.Sannicolau!J12+a.4.Faget!J12+a.4.Buzias!J12</f>
        <v>31857808.556999996</v>
      </c>
      <c r="J12" s="432">
        <f>a.4.Timisoara!K12+a.4.Loc.TM!K12+a.4.Deta!K12+a.4.Jimbolia!K12+a.4.Sannicolau!K12+a.4.Faget!K12+a.4.Buzias!K12</f>
        <v>34202287.296999998</v>
      </c>
      <c r="K12" s="432">
        <f>a.4.Timisoara!L12+a.4.Loc.TM!L12+a.4.Deta!L12+a.4.Jimbolia!L12+a.4.Sannicolau!L12+a.4.Faget!L12+a.4.Buzias!L12</f>
        <v>34519212.156999998</v>
      </c>
      <c r="L12" s="432">
        <f>a.4.Timisoara!M12+a.4.Loc.TM!M12+a.4.Deta!M12+a.4.Jimbolia!M12+a.4.Sannicolau!M12+a.4.Faget!M12+a.4.Buzias!M12</f>
        <v>33879780.546999998</v>
      </c>
      <c r="M12" s="405">
        <f t="shared" ref="M12:O12" si="5">M13+M14+M18+M19</f>
        <v>123732948</v>
      </c>
      <c r="N12" s="405">
        <f t="shared" ref="N12" si="6">N13+N14+N18+N19</f>
        <v>11627560</v>
      </c>
      <c r="O12" s="405">
        <f t="shared" si="5"/>
        <v>135360508</v>
      </c>
      <c r="P12" s="496">
        <v>134459088.558</v>
      </c>
      <c r="Q12" s="114">
        <f t="shared" si="4"/>
        <v>0</v>
      </c>
    </row>
    <row r="13" spans="1:17" ht="17.25" customHeight="1" thickBot="1" x14ac:dyDescent="0.25">
      <c r="A13" s="978"/>
      <c r="B13" s="1019"/>
      <c r="C13" s="71"/>
      <c r="D13" s="71" t="s">
        <v>237</v>
      </c>
      <c r="E13" s="71" t="s">
        <v>316</v>
      </c>
      <c r="F13" s="86"/>
      <c r="G13" s="84">
        <f t="shared" ref="G13:G76" si="7">G12+1</f>
        <v>4</v>
      </c>
      <c r="H13" s="432">
        <f>a.4.Timisoara!I13+a.4.Loc.TM!I13+a.4.Deta!I13+a.4.Jimbolia!I13+a.4.Sannicolau!I13+a.4.Faget!I13+a.4.Buzias!I13</f>
        <v>0</v>
      </c>
      <c r="I13" s="432">
        <f>a.4.Timisoara!J13+a.4.Loc.TM!J13+a.4.Deta!J13+a.4.Jimbolia!J13+a.4.Sannicolau!J13+a.4.Faget!J13+a.4.Buzias!J13</f>
        <v>0</v>
      </c>
      <c r="J13" s="432">
        <f>a.4.Timisoara!K13+a.4.Loc.TM!K13+a.4.Deta!K13+a.4.Jimbolia!K13+a.4.Sannicolau!K13+a.4.Faget!K13+a.4.Buzias!K13</f>
        <v>0</v>
      </c>
      <c r="K13" s="432">
        <f>a.4.Timisoara!L13+a.4.Loc.TM!L13+a.4.Deta!L13+a.4.Jimbolia!L13+a.4.Sannicolau!L13+a.4.Faget!L13+a.4.Buzias!L13</f>
        <v>0</v>
      </c>
      <c r="L13" s="432">
        <f>a.4.Timisoara!M13+a.4.Loc.TM!M13+a.4.Deta!M13+a.4.Jimbolia!M13+a.4.Sannicolau!M13+a.4.Faget!M13+a.4.Buzias!M13</f>
        <v>0</v>
      </c>
      <c r="M13" s="405"/>
      <c r="N13" s="405"/>
      <c r="O13" s="405"/>
      <c r="P13" s="496">
        <v>0</v>
      </c>
      <c r="Q13" s="114">
        <f t="shared" si="4"/>
        <v>0</v>
      </c>
    </row>
    <row r="14" spans="1:17" ht="13.5" thickBot="1" x14ac:dyDescent="0.25">
      <c r="A14" s="978"/>
      <c r="B14" s="1019"/>
      <c r="C14" s="71"/>
      <c r="D14" s="71" t="s">
        <v>66</v>
      </c>
      <c r="E14" s="71" t="s">
        <v>317</v>
      </c>
      <c r="F14" s="86">
        <v>704</v>
      </c>
      <c r="G14" s="84">
        <f>G13+1</f>
        <v>5</v>
      </c>
      <c r="H14" s="432">
        <f>a.4.Timisoara!I14+a.4.Loc.TM!I14+a.4.Deta!I14+a.4.Jimbolia!I14+a.4.Sannicolau!I14+a.4.Faget!I14+a.4.Buzias!I14</f>
        <v>134155599.148</v>
      </c>
      <c r="I14" s="432">
        <f>a.4.Timisoara!J14+a.4.Loc.TM!J14+a.4.Deta!J14+a.4.Jimbolia!J14+a.4.Sannicolau!J14+a.4.Faget!J14+a.4.Buzias!J14</f>
        <v>31794722.261999998</v>
      </c>
      <c r="J14" s="432">
        <f>a.4.Timisoara!K14+a.4.Loc.TM!K14+a.4.Deta!K14+a.4.Jimbolia!K14+a.4.Sannicolau!K14+a.4.Faget!K14+a.4.Buzias!K14</f>
        <v>34119184.692000002</v>
      </c>
      <c r="K14" s="432">
        <f>a.4.Timisoara!L14+a.4.Loc.TM!L14+a.4.Deta!L14+a.4.Jimbolia!L14+a.4.Sannicolau!L14+a.4.Faget!L14+a.4.Buzias!L14</f>
        <v>34435523.082000002</v>
      </c>
      <c r="L14" s="432">
        <f>a.4.Timisoara!M14+a.4.Loc.TM!M14+a.4.Deta!M14+a.4.Jimbolia!M14+a.4.Sannicolau!M14+a.4.Faget!M14+a.4.Buzias!M14</f>
        <v>33806169.112000003</v>
      </c>
      <c r="M14" s="402">
        <f>SUM(M15:M17)</f>
        <v>123360274</v>
      </c>
      <c r="N14" s="402">
        <f>SUM(N15:N17)</f>
        <v>11595693</v>
      </c>
      <c r="O14" s="402">
        <f>SUM(O15:O17)</f>
        <v>134955967</v>
      </c>
      <c r="P14" s="496">
        <v>134155599.148</v>
      </c>
      <c r="Q14" s="114">
        <f t="shared" si="4"/>
        <v>0</v>
      </c>
    </row>
    <row r="15" spans="1:17" ht="13.5" thickBot="1" x14ac:dyDescent="0.25">
      <c r="A15" s="978"/>
      <c r="B15" s="1019"/>
      <c r="C15" s="71"/>
      <c r="D15" s="71"/>
      <c r="E15" s="71"/>
      <c r="F15" s="286" t="s">
        <v>552</v>
      </c>
      <c r="G15" s="84"/>
      <c r="H15" s="432">
        <f>a.4.Timisoara!I15+a.4.Loc.TM!I15+a.4.Deta!I15+a.4.Jimbolia!I15+a.4.Sannicolau!I15+a.4.Faget!I15+a.4.Buzias!I15</f>
        <v>63288545.130000003</v>
      </c>
      <c r="I15" s="432">
        <f>a.4.Timisoara!J15+a.4.Loc.TM!J15+a.4.Deta!J15+a.4.Jimbolia!J15+a.4.Sannicolau!J15+a.4.Faget!J15+a.4.Buzias!J15</f>
        <v>16475852.630000001</v>
      </c>
      <c r="J15" s="432">
        <f>a.4.Timisoara!K15+a.4.Loc.TM!K15+a.4.Deta!K15+a.4.Jimbolia!K15+a.4.Sannicolau!K15+a.4.Faget!K15+a.4.Buzias!K15</f>
        <v>16808342.560000002</v>
      </c>
      <c r="K15" s="432">
        <f>a.4.Timisoara!L15+a.4.Loc.TM!L15+a.4.Deta!L15+a.4.Jimbolia!L15+a.4.Sannicolau!L15+a.4.Faget!L15+a.4.Buzias!L15</f>
        <v>16528326.35</v>
      </c>
      <c r="L15" s="432">
        <f>a.4.Timisoara!M15+a.4.Loc.TM!M15+a.4.Deta!M15+a.4.Jimbolia!M15+a.4.Sannicolau!M15+a.4.Faget!M15+a.4.Buzias!M15</f>
        <v>16811816.59</v>
      </c>
      <c r="M15" s="402">
        <v>58603573</v>
      </c>
      <c r="N15" s="402">
        <v>5501686</v>
      </c>
      <c r="O15" s="402">
        <f>SUM(M15:N15)</f>
        <v>64105259</v>
      </c>
      <c r="P15" s="496">
        <v>63288545.130000003</v>
      </c>
      <c r="Q15" s="114">
        <f t="shared" si="4"/>
        <v>0</v>
      </c>
    </row>
    <row r="16" spans="1:17" ht="13.5" thickBot="1" x14ac:dyDescent="0.25">
      <c r="A16" s="978"/>
      <c r="B16" s="1019"/>
      <c r="C16" s="71"/>
      <c r="D16" s="71"/>
      <c r="E16" s="71"/>
      <c r="F16" s="286" t="s">
        <v>553</v>
      </c>
      <c r="G16" s="84"/>
      <c r="H16" s="432">
        <f>a.4.Timisoara!I16+a.4.Loc.TM!I16+a.4.Deta!I16+a.4.Jimbolia!I16+a.4.Sannicolau!I16+a.4.Faget!I16+a.4.Buzias!I16</f>
        <v>65625042.289999999</v>
      </c>
      <c r="I16" s="432">
        <f>a.4.Timisoara!J16+a.4.Loc.TM!J16+a.4.Deta!J16+a.4.Jimbolia!J16+a.4.Sannicolau!J16+a.4.Faget!J16+a.4.Buzias!J16</f>
        <v>15278349.699999999</v>
      </c>
      <c r="J16" s="432">
        <f>a.4.Timisoara!K16+a.4.Loc.TM!K16+a.4.Deta!K16+a.4.Jimbolia!K16+a.4.Sannicolau!K16+a.4.Faget!K16+a.4.Buzias!K16</f>
        <v>17263475.199999999</v>
      </c>
      <c r="K16" s="432">
        <f>a.4.Timisoara!L16+a.4.Loc.TM!L16+a.4.Deta!L16+a.4.Jimbolia!L16+a.4.Sannicolau!L16+a.4.Faget!L16+a.4.Buzias!L16</f>
        <v>17849027.800000001</v>
      </c>
      <c r="L16" s="432">
        <f>a.4.Timisoara!M16+a.4.Loc.TM!M16+a.4.Deta!M16+a.4.Jimbolia!M16+a.4.Sannicolau!M16+a.4.Faget!M16+a.4.Buzias!M16</f>
        <v>16944512.59</v>
      </c>
      <c r="M16" s="402">
        <v>64570410</v>
      </c>
      <c r="N16" s="402">
        <v>6080610</v>
      </c>
      <c r="O16" s="402">
        <f t="shared" ref="O16:O20" si="8">SUM(M16:N16)</f>
        <v>70651020</v>
      </c>
      <c r="P16" s="496">
        <v>65625042.289999999</v>
      </c>
      <c r="Q16" s="114">
        <f t="shared" si="4"/>
        <v>0</v>
      </c>
    </row>
    <row r="17" spans="1:17" ht="22.5" customHeight="1" thickBot="1" x14ac:dyDescent="0.25">
      <c r="A17" s="978"/>
      <c r="B17" s="1019"/>
      <c r="C17" s="71"/>
      <c r="D17" s="71"/>
      <c r="E17" s="71"/>
      <c r="F17" s="286" t="s">
        <v>554</v>
      </c>
      <c r="G17" s="84"/>
      <c r="H17" s="432">
        <f>a.4.Timisoara!I17+a.4.Loc.TM!I17+a.4.Deta!I17+a.4.Jimbolia!I17+a.4.Sannicolau!I17+a.4.Faget!I17+a.4.Buzias!I17</f>
        <v>166132</v>
      </c>
      <c r="I17" s="432">
        <f>a.4.Timisoara!J17+a.4.Loc.TM!J17+a.4.Deta!J17+a.4.Jimbolia!J17+a.4.Sannicolau!J17+a.4.Faget!J17+a.4.Buzias!J17</f>
        <v>40519.932000000001</v>
      </c>
      <c r="J17" s="432">
        <f>a.4.Timisoara!K17+a.4.Loc.TM!K17+a.4.Deta!K17+a.4.Jimbolia!K17+a.4.Sannicolau!K17+a.4.Faget!K17+a.4.Buzias!K17</f>
        <v>47366.932000000001</v>
      </c>
      <c r="K17" s="432">
        <f>a.4.Timisoara!L17+a.4.Loc.TM!L17+a.4.Deta!L17+a.4.Jimbolia!L17+a.4.Sannicolau!L17+a.4.Faget!L17+a.4.Buzias!L17</f>
        <v>51040.932000000001</v>
      </c>
      <c r="L17" s="432">
        <f>a.4.Timisoara!M17+a.4.Loc.TM!M17+a.4.Deta!M17+a.4.Jimbolia!M17+a.4.Sannicolau!M17+a.4.Faget!M17+a.4.Buzias!M17</f>
        <v>42731.932000000001</v>
      </c>
      <c r="M17" s="402">
        <f>21303+15628+21262+128098</f>
        <v>186291</v>
      </c>
      <c r="N17" s="402">
        <f>4765+1136+334+7162</f>
        <v>13397</v>
      </c>
      <c r="O17" s="402">
        <f t="shared" si="8"/>
        <v>199688</v>
      </c>
      <c r="P17" s="496">
        <v>166132</v>
      </c>
      <c r="Q17" s="114">
        <f t="shared" si="4"/>
        <v>0</v>
      </c>
    </row>
    <row r="18" spans="1:17" ht="22.5" customHeight="1" thickBot="1" x14ac:dyDescent="0.25">
      <c r="A18" s="978"/>
      <c r="B18" s="1019"/>
      <c r="C18" s="71"/>
      <c r="D18" s="71" t="s">
        <v>318</v>
      </c>
      <c r="E18" s="71" t="s">
        <v>319</v>
      </c>
      <c r="F18" s="86" t="s">
        <v>555</v>
      </c>
      <c r="G18" s="84">
        <f>G14+1</f>
        <v>6</v>
      </c>
      <c r="H18" s="432">
        <f>a.4.Timisoara!I18+a.4.Loc.TM!I18+a.4.Deta!I18+a.4.Jimbolia!I18+a.4.Sannicolau!I18+a.4.Faget!I18+a.4.Buzias!I18</f>
        <v>75980.932000000001</v>
      </c>
      <c r="I18" s="432">
        <f>a.4.Timisoara!J18+a.4.Loc.TM!J18+a.4.Deta!J18+a.4.Jimbolia!J18+a.4.Sannicolau!J18+a.4.Faget!J18+a.4.Buzias!J18</f>
        <v>19014.983</v>
      </c>
      <c r="J18" s="432">
        <f>a.4.Timisoara!K18+a.4.Loc.TM!K18+a.4.Deta!K18+a.4.Jimbolia!K18+a.4.Sannicolau!K18+a.4.Faget!K18+a.4.Buzias!K18</f>
        <v>18984.983</v>
      </c>
      <c r="K18" s="432">
        <f>a.4.Timisoara!L18+a.4.Loc.TM!L18+a.4.Deta!L18+a.4.Jimbolia!L18+a.4.Sannicolau!L18+a.4.Faget!L18+a.4.Buzias!L18</f>
        <v>18985.983</v>
      </c>
      <c r="L18" s="432">
        <f>a.4.Timisoara!M18+a.4.Loc.TM!M18+a.4.Deta!M18+a.4.Jimbolia!M18+a.4.Sannicolau!M18+a.4.Faget!M18+a.4.Buzias!M18</f>
        <v>18994.983</v>
      </c>
      <c r="M18" s="402">
        <f>22262+49284</f>
        <v>71546</v>
      </c>
      <c r="N18" s="402">
        <f>4062+8095</f>
        <v>12157</v>
      </c>
      <c r="O18" s="402">
        <f t="shared" si="8"/>
        <v>83703</v>
      </c>
      <c r="P18" s="496">
        <v>75980.932000000001</v>
      </c>
      <c r="Q18" s="114">
        <f t="shared" si="4"/>
        <v>0</v>
      </c>
    </row>
    <row r="19" spans="1:17" ht="22.5" customHeight="1" thickBot="1" x14ac:dyDescent="0.25">
      <c r="A19" s="978"/>
      <c r="B19" s="1019"/>
      <c r="C19" s="71"/>
      <c r="D19" s="71" t="s">
        <v>320</v>
      </c>
      <c r="E19" s="71" t="s">
        <v>321</v>
      </c>
      <c r="F19" s="86" t="s">
        <v>556</v>
      </c>
      <c r="G19" s="84">
        <f t="shared" si="7"/>
        <v>7</v>
      </c>
      <c r="H19" s="432">
        <f>a.4.Timisoara!I19+a.4.Loc.TM!I19+a.4.Deta!I19+a.4.Jimbolia!I19+a.4.Sannicolau!I19+a.4.Faget!I19+a.4.Buzias!I19</f>
        <v>227508.478</v>
      </c>
      <c r="I19" s="432">
        <f>a.4.Timisoara!J19+a.4.Loc.TM!J19+a.4.Deta!J19+a.4.Jimbolia!J19+a.4.Sannicolau!J19+a.4.Faget!J19+a.4.Buzias!J19</f>
        <v>44071.311999999998</v>
      </c>
      <c r="J19" s="432">
        <f>a.4.Timisoara!K19+a.4.Loc.TM!K19+a.4.Deta!K19+a.4.Jimbolia!K19+a.4.Sannicolau!K19+a.4.Faget!K19+a.4.Buzias!K19</f>
        <v>64117.621999999996</v>
      </c>
      <c r="K19" s="432">
        <f>a.4.Timisoara!L19+a.4.Loc.TM!L19+a.4.Deta!L19+a.4.Jimbolia!L19+a.4.Sannicolau!L19+a.4.Faget!L19+a.4.Buzias!L19</f>
        <v>64703.091999999997</v>
      </c>
      <c r="L19" s="432">
        <f>a.4.Timisoara!M19+a.4.Loc.TM!M19+a.4.Deta!M19+a.4.Jimbolia!M19+a.4.Sannicolau!M19+a.4.Faget!M19+a.4.Buzias!M19</f>
        <v>54616.451999999997</v>
      </c>
      <c r="M19" s="402">
        <f>142990+120986+37152</f>
        <v>301128</v>
      </c>
      <c r="N19" s="402">
        <f>8095+9323+2292</f>
        <v>19710</v>
      </c>
      <c r="O19" s="402">
        <f t="shared" si="8"/>
        <v>320838</v>
      </c>
      <c r="P19" s="496">
        <v>227508.478</v>
      </c>
      <c r="Q19" s="114">
        <f t="shared" si="4"/>
        <v>0</v>
      </c>
    </row>
    <row r="20" spans="1:17" ht="13.5" thickBot="1" x14ac:dyDescent="0.25">
      <c r="A20" s="978"/>
      <c r="B20" s="1019"/>
      <c r="C20" s="71" t="s">
        <v>38</v>
      </c>
      <c r="D20" s="973" t="s">
        <v>322</v>
      </c>
      <c r="E20" s="974"/>
      <c r="F20" s="275"/>
      <c r="G20" s="84">
        <f t="shared" si="7"/>
        <v>8</v>
      </c>
      <c r="H20" s="432">
        <f>a.4.Timisoara!I20+a.4.Loc.TM!I20+a.4.Deta!I20+a.4.Jimbolia!I20+a.4.Sannicolau!I20+a.4.Faget!I20+a.4.Buzias!I20</f>
        <v>0</v>
      </c>
      <c r="I20" s="432">
        <f>a.4.Timisoara!J20+a.4.Loc.TM!J20+a.4.Deta!J20+a.4.Jimbolia!J20+a.4.Sannicolau!J20+a.4.Faget!J20+a.4.Buzias!J20</f>
        <v>0</v>
      </c>
      <c r="J20" s="432">
        <f>a.4.Timisoara!K20+a.4.Loc.TM!K20+a.4.Deta!K20+a.4.Jimbolia!K20+a.4.Sannicolau!K20+a.4.Faget!K20+a.4.Buzias!K20</f>
        <v>0</v>
      </c>
      <c r="K20" s="432">
        <f>a.4.Timisoara!L20+a.4.Loc.TM!L20+a.4.Deta!L20+a.4.Jimbolia!L20+a.4.Sannicolau!L20+a.4.Faget!L20+a.4.Buzias!L20</f>
        <v>0</v>
      </c>
      <c r="L20" s="432">
        <f>a.4.Timisoara!M20+a.4.Loc.TM!M20+a.4.Deta!M20+a.4.Jimbolia!M20+a.4.Sannicolau!M20+a.4.Faget!M20+a.4.Buzias!M20</f>
        <v>0</v>
      </c>
      <c r="M20" s="405"/>
      <c r="N20" s="405"/>
      <c r="O20" s="402">
        <f t="shared" si="8"/>
        <v>0</v>
      </c>
      <c r="P20" s="496">
        <v>0</v>
      </c>
      <c r="Q20" s="114">
        <f t="shared" si="4"/>
        <v>0</v>
      </c>
    </row>
    <row r="21" spans="1:17" ht="23.25" customHeight="1" thickBot="1" x14ac:dyDescent="0.25">
      <c r="A21" s="978"/>
      <c r="B21" s="1019"/>
      <c r="C21" s="71" t="s">
        <v>40</v>
      </c>
      <c r="D21" s="973" t="s">
        <v>323</v>
      </c>
      <c r="E21" s="974"/>
      <c r="F21" s="275"/>
      <c r="G21" s="84">
        <f t="shared" si="7"/>
        <v>9</v>
      </c>
      <c r="H21" s="432">
        <f>a.4.Timisoara!I21+a.4.Loc.TM!I21+a.4.Deta!I21+a.4.Jimbolia!I21+a.4.Sannicolau!I21+a.4.Faget!I21+a.4.Buzias!I21</f>
        <v>0</v>
      </c>
      <c r="I21" s="432">
        <f>a.4.Timisoara!J21+a.4.Loc.TM!J21+a.4.Deta!J21+a.4.Jimbolia!J21+a.4.Sannicolau!J21+a.4.Faget!J21+a.4.Buzias!J21</f>
        <v>0</v>
      </c>
      <c r="J21" s="432">
        <f>a.4.Timisoara!K21+a.4.Loc.TM!K21+a.4.Deta!K21+a.4.Jimbolia!K21+a.4.Sannicolau!K21+a.4.Faget!K21+a.4.Buzias!K21</f>
        <v>0</v>
      </c>
      <c r="K21" s="432">
        <f>a.4.Timisoara!L21+a.4.Loc.TM!L21+a.4.Deta!L21+a.4.Jimbolia!L21+a.4.Sannicolau!L21+a.4.Faget!L21+a.4.Buzias!L21</f>
        <v>0</v>
      </c>
      <c r="L21" s="432">
        <f>a.4.Timisoara!M21+a.4.Loc.TM!M21+a.4.Deta!M21+a.4.Jimbolia!M21+a.4.Sannicolau!M21+a.4.Faget!M21+a.4.Buzias!M21</f>
        <v>0</v>
      </c>
      <c r="M21" s="405">
        <f t="shared" ref="M21:O21" si="9">M22+M23</f>
        <v>0</v>
      </c>
      <c r="N21" s="405">
        <f t="shared" ref="N21" si="10">N22+N23</f>
        <v>0</v>
      </c>
      <c r="O21" s="405">
        <f t="shared" si="9"/>
        <v>0</v>
      </c>
      <c r="P21" s="496">
        <v>0</v>
      </c>
      <c r="Q21" s="114">
        <f t="shared" si="4"/>
        <v>0</v>
      </c>
    </row>
    <row r="22" spans="1:17" ht="22.5" customHeight="1" thickBot="1" x14ac:dyDescent="0.25">
      <c r="A22" s="978"/>
      <c r="B22" s="1019"/>
      <c r="C22" s="1018"/>
      <c r="D22" s="71" t="s">
        <v>324</v>
      </c>
      <c r="E22" s="71" t="s">
        <v>325</v>
      </c>
      <c r="F22" s="86" t="s">
        <v>557</v>
      </c>
      <c r="G22" s="84">
        <f t="shared" si="7"/>
        <v>10</v>
      </c>
      <c r="H22" s="432">
        <f>a.4.Timisoara!I22+a.4.Loc.TM!I22+a.4.Deta!I22+a.4.Jimbolia!I22+a.4.Sannicolau!I22+a.4.Faget!I22+a.4.Buzias!I22</f>
        <v>0</v>
      </c>
      <c r="I22" s="432">
        <f>a.4.Timisoara!J22+a.4.Loc.TM!J22+a.4.Deta!J22+a.4.Jimbolia!J22+a.4.Sannicolau!J22+a.4.Faget!J22+a.4.Buzias!J22</f>
        <v>0</v>
      </c>
      <c r="J22" s="432">
        <f>a.4.Timisoara!K22+a.4.Loc.TM!K22+a.4.Deta!K22+a.4.Jimbolia!K22+a.4.Sannicolau!K22+a.4.Faget!K22+a.4.Buzias!K22</f>
        <v>0</v>
      </c>
      <c r="K22" s="432">
        <f>a.4.Timisoara!L22+a.4.Loc.TM!L22+a.4.Deta!L22+a.4.Jimbolia!L22+a.4.Sannicolau!L22+a.4.Faget!L22+a.4.Buzias!L22</f>
        <v>0</v>
      </c>
      <c r="L22" s="432">
        <f>a.4.Timisoara!M22+a.4.Loc.TM!M22+a.4.Deta!M22+a.4.Jimbolia!M22+a.4.Sannicolau!M22+a.4.Faget!M22+a.4.Buzias!M22</f>
        <v>0</v>
      </c>
      <c r="M22" s="525"/>
      <c r="N22" s="525"/>
      <c r="O22" s="525">
        <f>SUM(M22:N22)</f>
        <v>0</v>
      </c>
      <c r="P22" s="496">
        <v>0</v>
      </c>
      <c r="Q22" s="114">
        <f t="shared" si="4"/>
        <v>0</v>
      </c>
    </row>
    <row r="23" spans="1:17" ht="22.5" customHeight="1" thickBot="1" x14ac:dyDescent="0.25">
      <c r="A23" s="978"/>
      <c r="B23" s="1019"/>
      <c r="C23" s="1020"/>
      <c r="D23" s="71" t="s">
        <v>67</v>
      </c>
      <c r="E23" s="71" t="s">
        <v>32</v>
      </c>
      <c r="F23" s="86"/>
      <c r="G23" s="84">
        <f t="shared" si="7"/>
        <v>11</v>
      </c>
      <c r="H23" s="432">
        <f>a.4.Timisoara!I23+a.4.Loc.TM!I23+a.4.Deta!I23+a.4.Jimbolia!I23+a.4.Sannicolau!I23+a.4.Faget!I23+a.4.Buzias!I23</f>
        <v>0</v>
      </c>
      <c r="I23" s="432">
        <f>a.4.Timisoara!J23+a.4.Loc.TM!J23+a.4.Deta!J23+a.4.Jimbolia!J23+a.4.Sannicolau!J23+a.4.Faget!J23+a.4.Buzias!J23</f>
        <v>0</v>
      </c>
      <c r="J23" s="432">
        <f>a.4.Timisoara!K23+a.4.Loc.TM!K23+a.4.Deta!K23+a.4.Jimbolia!K23+a.4.Sannicolau!K23+a.4.Faget!K23+a.4.Buzias!K23</f>
        <v>0</v>
      </c>
      <c r="K23" s="432">
        <f>a.4.Timisoara!L23+a.4.Loc.TM!L23+a.4.Deta!L23+a.4.Jimbolia!L23+a.4.Sannicolau!L23+a.4.Faget!L23+a.4.Buzias!L23</f>
        <v>0</v>
      </c>
      <c r="L23" s="432">
        <f>a.4.Timisoara!M23+a.4.Loc.TM!M23+a.4.Deta!M23+a.4.Jimbolia!M23+a.4.Sannicolau!M23+a.4.Faget!M23+a.4.Buzias!M23</f>
        <v>0</v>
      </c>
      <c r="M23" s="525"/>
      <c r="N23" s="525"/>
      <c r="O23" s="525">
        <f t="shared" ref="O23:O25" si="11">SUM(M23:N23)</f>
        <v>0</v>
      </c>
      <c r="P23" s="496">
        <v>0</v>
      </c>
      <c r="Q23" s="114">
        <f t="shared" si="4"/>
        <v>0</v>
      </c>
    </row>
    <row r="24" spans="1:17" ht="26.25" customHeight="1" thickBot="1" x14ac:dyDescent="0.25">
      <c r="A24" s="978"/>
      <c r="B24" s="1019"/>
      <c r="C24" s="71" t="s">
        <v>42</v>
      </c>
      <c r="D24" s="973" t="s">
        <v>326</v>
      </c>
      <c r="E24" s="974"/>
      <c r="F24" s="275" t="s">
        <v>558</v>
      </c>
      <c r="G24" s="84">
        <f t="shared" si="7"/>
        <v>12</v>
      </c>
      <c r="H24" s="432">
        <f>a.4.Timisoara!I24+a.4.Loc.TM!I24+a.4.Deta!I24+a.4.Jimbolia!I24+a.4.Sannicolau!I24+a.4.Faget!I24+a.4.Buzias!I24</f>
        <v>2103800</v>
      </c>
      <c r="I24" s="432">
        <f>a.4.Timisoara!J24+a.4.Loc.TM!J24+a.4.Deta!J24+a.4.Jimbolia!J24+a.4.Sannicolau!J24+a.4.Faget!J24+a.4.Buzias!J24</f>
        <v>183400</v>
      </c>
      <c r="J24" s="432">
        <f>a.4.Timisoara!K24+a.4.Loc.TM!K24+a.4.Deta!K24+a.4.Jimbolia!K24+a.4.Sannicolau!K24+a.4.Faget!K24+a.4.Buzias!K24</f>
        <v>554400</v>
      </c>
      <c r="K24" s="432">
        <f>a.4.Timisoara!L24+a.4.Loc.TM!L24+a.4.Deta!L24+a.4.Jimbolia!L24+a.4.Sannicolau!L24+a.4.Faget!L24+a.4.Buzias!L24</f>
        <v>581500</v>
      </c>
      <c r="L24" s="432">
        <f>a.4.Timisoara!M24+a.4.Loc.TM!M24+a.4.Deta!M24+a.4.Jimbolia!M24+a.4.Sannicolau!M24+a.4.Faget!M24+a.4.Buzias!M24</f>
        <v>784500</v>
      </c>
      <c r="M24" s="525">
        <v>1588185</v>
      </c>
      <c r="N24" s="525">
        <v>528189</v>
      </c>
      <c r="O24" s="525">
        <f t="shared" si="11"/>
        <v>2116374</v>
      </c>
      <c r="P24" s="496">
        <v>2103800</v>
      </c>
      <c r="Q24" s="114">
        <f t="shared" si="4"/>
        <v>0</v>
      </c>
    </row>
    <row r="25" spans="1:17" ht="13.5" thickBot="1" x14ac:dyDescent="0.25">
      <c r="A25" s="978"/>
      <c r="B25" s="1020"/>
      <c r="C25" s="71" t="s">
        <v>28</v>
      </c>
      <c r="D25" s="973" t="s">
        <v>327</v>
      </c>
      <c r="E25" s="974"/>
      <c r="F25" s="275"/>
      <c r="G25" s="84">
        <f t="shared" si="7"/>
        <v>13</v>
      </c>
      <c r="H25" s="432">
        <f>a.4.Timisoara!I25+a.4.Loc.TM!I25+a.4.Deta!I25+a.4.Jimbolia!I25+a.4.Sannicolau!I25+a.4.Faget!I25+a.4.Buzias!I25</f>
        <v>0</v>
      </c>
      <c r="I25" s="432">
        <f>a.4.Timisoara!J25+a.4.Loc.TM!J25+a.4.Deta!J25+a.4.Jimbolia!J25+a.4.Sannicolau!J25+a.4.Faget!J25+a.4.Buzias!J25</f>
        <v>0</v>
      </c>
      <c r="J25" s="432">
        <f>a.4.Timisoara!K25+a.4.Loc.TM!K25+a.4.Deta!K25+a.4.Jimbolia!K25+a.4.Sannicolau!K25+a.4.Faget!K25+a.4.Buzias!K25</f>
        <v>0</v>
      </c>
      <c r="K25" s="432">
        <f>a.4.Timisoara!L25+a.4.Loc.TM!L25+a.4.Deta!L25+a.4.Jimbolia!L25+a.4.Sannicolau!L25+a.4.Faget!L25+a.4.Buzias!L25</f>
        <v>0</v>
      </c>
      <c r="L25" s="432">
        <f>a.4.Timisoara!M25+a.4.Loc.TM!M25+a.4.Deta!M25+a.4.Jimbolia!M25+a.4.Sannicolau!M25+a.4.Faget!M25+a.4.Buzias!M25</f>
        <v>0</v>
      </c>
      <c r="M25" s="525"/>
      <c r="N25" s="525"/>
      <c r="O25" s="525">
        <f t="shared" si="11"/>
        <v>0</v>
      </c>
      <c r="P25" s="496">
        <v>0</v>
      </c>
      <c r="Q25" s="114">
        <f t="shared" si="4"/>
        <v>0</v>
      </c>
    </row>
    <row r="26" spans="1:17" ht="27" customHeight="1" thickBot="1" x14ac:dyDescent="0.25">
      <c r="A26" s="978"/>
      <c r="B26" s="71"/>
      <c r="C26" s="71" t="s">
        <v>34</v>
      </c>
      <c r="D26" s="973" t="s">
        <v>328</v>
      </c>
      <c r="E26" s="974"/>
      <c r="F26" s="275"/>
      <c r="G26" s="84">
        <f>G25+1</f>
        <v>14</v>
      </c>
      <c r="H26" s="432">
        <f>a.4.Timisoara!I26+a.4.Loc.TM!I26+a.4.Deta!I26+a.4.Jimbolia!I26+a.4.Sannicolau!I26+a.4.Faget!I26+a.4.Buzias!I26</f>
        <v>1326607.5319999999</v>
      </c>
      <c r="I26" s="432">
        <f>a.4.Timisoara!J26+a.4.Loc.TM!J26+a.4.Deta!J26+a.4.Jimbolia!J26+a.4.Sannicolau!J26+a.4.Faget!J26+a.4.Buzias!J26</f>
        <v>321465.99800000002</v>
      </c>
      <c r="J26" s="432">
        <f>a.4.Timisoara!K26+a.4.Loc.TM!K26+a.4.Deta!K26+a.4.Jimbolia!K26+a.4.Sannicolau!K26+a.4.Faget!K26+a.4.Buzias!K26</f>
        <v>340543.538</v>
      </c>
      <c r="K26" s="432">
        <f>a.4.Timisoara!L26+a.4.Loc.TM!L26+a.4.Deta!L26+a.4.Jimbolia!L26+a.4.Sannicolau!L26+a.4.Faget!L26+a.4.Buzias!L26</f>
        <v>341760.39799999999</v>
      </c>
      <c r="L26" s="432">
        <f>a.4.Timisoara!M26+a.4.Loc.TM!M26+a.4.Deta!M26+a.4.Jimbolia!M26+a.4.Sannicolau!M26+a.4.Faget!M26+a.4.Buzias!M26</f>
        <v>322837.598</v>
      </c>
      <c r="M26" s="402">
        <f t="shared" ref="M26:O26" si="12">M27+M28+M31+M32+M33</f>
        <v>3037410</v>
      </c>
      <c r="N26" s="402">
        <f t="shared" ref="N26" si="13">N27+N28+N31+N32+N33</f>
        <v>103242</v>
      </c>
      <c r="O26" s="402">
        <f t="shared" si="12"/>
        <v>3140652</v>
      </c>
      <c r="P26" s="496">
        <v>1326607.5319999999</v>
      </c>
      <c r="Q26" s="114">
        <f t="shared" si="4"/>
        <v>0</v>
      </c>
    </row>
    <row r="27" spans="1:17" ht="38.25" customHeight="1" thickBot="1" x14ac:dyDescent="0.25">
      <c r="A27" s="978"/>
      <c r="B27" s="71"/>
      <c r="C27" s="71"/>
      <c r="D27" s="71" t="s">
        <v>329</v>
      </c>
      <c r="E27" s="71" t="s">
        <v>330</v>
      </c>
      <c r="F27" s="86" t="s">
        <v>559</v>
      </c>
      <c r="G27" s="84">
        <f t="shared" si="7"/>
        <v>15</v>
      </c>
      <c r="H27" s="432">
        <f>a.4.Timisoara!I27+a.4.Loc.TM!I27+a.4.Deta!I27+a.4.Jimbolia!I27+a.4.Sannicolau!I27+a.4.Faget!I27+a.4.Buzias!I27</f>
        <v>519274.12400000001</v>
      </c>
      <c r="I27" s="432">
        <f>a.4.Timisoara!J27+a.4.Loc.TM!J27+a.4.Deta!J27+a.4.Jimbolia!J27+a.4.Sannicolau!J27+a.4.Faget!J27+a.4.Buzias!J27</f>
        <v>119685.14599999999</v>
      </c>
      <c r="J27" s="432">
        <f>a.4.Timisoara!K27+a.4.Loc.TM!K27+a.4.Deta!K27+a.4.Jimbolia!K27+a.4.Sannicolau!K27+a.4.Faget!K27+a.4.Buzias!K27</f>
        <v>138712.68599999999</v>
      </c>
      <c r="K27" s="432">
        <f>a.4.Timisoara!L27+a.4.Loc.TM!L27+a.4.Deta!L27+a.4.Jimbolia!L27+a.4.Sannicolau!L27+a.4.Faget!L27+a.4.Buzias!L27</f>
        <v>139879.54599999997</v>
      </c>
      <c r="L27" s="432">
        <f>a.4.Timisoara!M27+a.4.Loc.TM!M27+a.4.Deta!M27+a.4.Jimbolia!M27+a.4.Sannicolau!M27+a.4.Faget!M27+a.4.Buzias!M27</f>
        <v>120996.746</v>
      </c>
      <c r="M27" s="525">
        <f>510563+11471+1405789</f>
        <v>1927823</v>
      </c>
      <c r="N27" s="548">
        <v>30000</v>
      </c>
      <c r="O27" s="525">
        <f>SUM(M27:N27)</f>
        <v>1957823</v>
      </c>
      <c r="P27" s="496">
        <v>519274.12400000001</v>
      </c>
      <c r="Q27" s="114">
        <f t="shared" si="4"/>
        <v>0</v>
      </c>
    </row>
    <row r="28" spans="1:17" ht="38.25" customHeight="1" thickBot="1" x14ac:dyDescent="0.25">
      <c r="A28" s="978"/>
      <c r="B28" s="71"/>
      <c r="C28" s="71"/>
      <c r="D28" s="71" t="s">
        <v>52</v>
      </c>
      <c r="E28" s="71" t="s">
        <v>331</v>
      </c>
      <c r="F28" s="86"/>
      <c r="G28" s="84">
        <f t="shared" si="7"/>
        <v>16</v>
      </c>
      <c r="H28" s="432">
        <f>a.4.Timisoara!I28+a.4.Loc.TM!I28+a.4.Deta!I28+a.4.Jimbolia!I28+a.4.Sannicolau!I28+a.4.Faget!I28+a.4.Buzias!I28</f>
        <v>0</v>
      </c>
      <c r="I28" s="432">
        <f>a.4.Timisoara!J28+a.4.Loc.TM!J28+a.4.Deta!J28+a.4.Jimbolia!J28+a.4.Sannicolau!J28+a.4.Faget!J28+a.4.Buzias!J28</f>
        <v>0</v>
      </c>
      <c r="J28" s="432">
        <f>a.4.Timisoara!K28+a.4.Loc.TM!K28+a.4.Deta!K28+a.4.Jimbolia!K28+a.4.Sannicolau!K28+a.4.Faget!K28+a.4.Buzias!K28</f>
        <v>0</v>
      </c>
      <c r="K28" s="432">
        <f>a.4.Timisoara!L28+a.4.Loc.TM!L28+a.4.Deta!L28+a.4.Jimbolia!L28+a.4.Sannicolau!L28+a.4.Faget!L28+a.4.Buzias!L28</f>
        <v>0</v>
      </c>
      <c r="L28" s="432">
        <f>a.4.Timisoara!M28+a.4.Loc.TM!M28+a.4.Deta!M28+a.4.Jimbolia!M28+a.4.Sannicolau!M28+a.4.Faget!M28+a.4.Buzias!M28</f>
        <v>0</v>
      </c>
      <c r="M28" s="402">
        <f t="shared" ref="M28:O28" si="14">SUM(M29:M30)</f>
        <v>0</v>
      </c>
      <c r="N28" s="402">
        <f t="shared" ref="N28" si="15">SUM(N29:N30)</f>
        <v>0</v>
      </c>
      <c r="O28" s="402">
        <f t="shared" si="14"/>
        <v>0</v>
      </c>
      <c r="P28" s="496">
        <v>0</v>
      </c>
      <c r="Q28" s="114">
        <f t="shared" si="4"/>
        <v>0</v>
      </c>
    </row>
    <row r="29" spans="1:17" ht="38.25" customHeight="1" thickBot="1" x14ac:dyDescent="0.25">
      <c r="A29" s="978"/>
      <c r="B29" s="71"/>
      <c r="C29" s="71"/>
      <c r="D29" s="71"/>
      <c r="E29" s="71" t="s">
        <v>332</v>
      </c>
      <c r="F29" s="86" t="s">
        <v>560</v>
      </c>
      <c r="G29" s="84">
        <f t="shared" si="7"/>
        <v>17</v>
      </c>
      <c r="H29" s="432">
        <f>a.4.Timisoara!I29+a.4.Loc.TM!I29+a.4.Deta!I29+a.4.Jimbolia!I29+a.4.Sannicolau!I29+a.4.Faget!I29+a.4.Buzias!I29</f>
        <v>0</v>
      </c>
      <c r="I29" s="432">
        <f>a.4.Timisoara!J29+a.4.Loc.TM!J29+a.4.Deta!J29+a.4.Jimbolia!J29+a.4.Sannicolau!J29+a.4.Faget!J29+a.4.Buzias!J29</f>
        <v>0</v>
      </c>
      <c r="J29" s="432">
        <f>a.4.Timisoara!K29+a.4.Loc.TM!K29+a.4.Deta!K29+a.4.Jimbolia!K29+a.4.Sannicolau!K29+a.4.Faget!K29+a.4.Buzias!K29</f>
        <v>0</v>
      </c>
      <c r="K29" s="432">
        <f>a.4.Timisoara!L29+a.4.Loc.TM!L29+a.4.Deta!L29+a.4.Jimbolia!L29+a.4.Sannicolau!L29+a.4.Faget!L29+a.4.Buzias!L29</f>
        <v>0</v>
      </c>
      <c r="L29" s="432">
        <f>a.4.Timisoara!M29+a.4.Loc.TM!M29+a.4.Deta!M29+a.4.Jimbolia!M29+a.4.Sannicolau!M29+a.4.Faget!M29+a.4.Buzias!M29</f>
        <v>0</v>
      </c>
      <c r="M29" s="402">
        <v>0</v>
      </c>
      <c r="N29" s="402">
        <v>0</v>
      </c>
      <c r="O29" s="402">
        <v>0</v>
      </c>
      <c r="P29" s="496">
        <v>0</v>
      </c>
      <c r="Q29" s="114">
        <f t="shared" si="4"/>
        <v>0</v>
      </c>
    </row>
    <row r="30" spans="1:17" ht="38.25" customHeight="1" thickBot="1" x14ac:dyDescent="0.25">
      <c r="A30" s="978"/>
      <c r="B30" s="71"/>
      <c r="C30" s="71"/>
      <c r="D30" s="71"/>
      <c r="E30" s="71" t="s">
        <v>333</v>
      </c>
      <c r="F30" s="86" t="s">
        <v>561</v>
      </c>
      <c r="G30" s="84">
        <f t="shared" si="7"/>
        <v>18</v>
      </c>
      <c r="H30" s="432">
        <f>a.4.Timisoara!I30+a.4.Loc.TM!I30+a.4.Deta!I30+a.4.Jimbolia!I30+a.4.Sannicolau!I30+a.4.Faget!I30+a.4.Buzias!I30</f>
        <v>0</v>
      </c>
      <c r="I30" s="432">
        <f>a.4.Timisoara!J30+a.4.Loc.TM!J30+a.4.Deta!J30+a.4.Jimbolia!J30+a.4.Sannicolau!J30+a.4.Faget!J30+a.4.Buzias!J30</f>
        <v>0</v>
      </c>
      <c r="J30" s="432">
        <f>a.4.Timisoara!K30+a.4.Loc.TM!K30+a.4.Deta!K30+a.4.Jimbolia!K30+a.4.Sannicolau!K30+a.4.Faget!K30+a.4.Buzias!K30</f>
        <v>0</v>
      </c>
      <c r="K30" s="432">
        <f>a.4.Timisoara!L30+a.4.Loc.TM!L30+a.4.Deta!L30+a.4.Jimbolia!L30+a.4.Sannicolau!L30+a.4.Faget!L30+a.4.Buzias!L30</f>
        <v>0</v>
      </c>
      <c r="L30" s="432">
        <f>a.4.Timisoara!M30+a.4.Loc.TM!M30+a.4.Deta!M30+a.4.Jimbolia!M30+a.4.Sannicolau!M30+a.4.Faget!M30+a.4.Buzias!M30</f>
        <v>0</v>
      </c>
      <c r="M30" s="402"/>
      <c r="N30" s="402"/>
      <c r="O30" s="402"/>
      <c r="P30" s="496">
        <v>0</v>
      </c>
      <c r="Q30" s="114">
        <f t="shared" si="4"/>
        <v>0</v>
      </c>
    </row>
    <row r="31" spans="1:17" ht="27" customHeight="1" thickBot="1" x14ac:dyDescent="0.25">
      <c r="A31" s="978"/>
      <c r="B31" s="102"/>
      <c r="C31" s="102"/>
      <c r="D31" s="102" t="s">
        <v>53</v>
      </c>
      <c r="E31" s="102" t="s">
        <v>334</v>
      </c>
      <c r="F31" s="290" t="s">
        <v>562</v>
      </c>
      <c r="G31" s="84">
        <f t="shared" si="7"/>
        <v>19</v>
      </c>
      <c r="H31" s="432">
        <f>a.4.Timisoara!I31+a.4.Loc.TM!I31+a.4.Deta!I31+a.4.Jimbolia!I31+a.4.Sannicolau!I31+a.4.Faget!I31+a.4.Buzias!I31</f>
        <v>0</v>
      </c>
      <c r="I31" s="432">
        <f>a.4.Timisoara!J31+a.4.Loc.TM!J31+a.4.Deta!J31+a.4.Jimbolia!J31+a.4.Sannicolau!J31+a.4.Faget!J31+a.4.Buzias!J31</f>
        <v>0</v>
      </c>
      <c r="J31" s="432">
        <f>a.4.Timisoara!K31+a.4.Loc.TM!K31+a.4.Deta!K31+a.4.Jimbolia!K31+a.4.Sannicolau!K31+a.4.Faget!K31+a.4.Buzias!K31</f>
        <v>0</v>
      </c>
      <c r="K31" s="432">
        <f>a.4.Timisoara!L31+a.4.Loc.TM!L31+a.4.Deta!L31+a.4.Jimbolia!L31+a.4.Sannicolau!L31+a.4.Faget!L31+a.4.Buzias!L31</f>
        <v>0</v>
      </c>
      <c r="L31" s="432">
        <f>a.4.Timisoara!M31+a.4.Loc.TM!M31+a.4.Deta!M31+a.4.Jimbolia!M31+a.4.Sannicolau!M31+a.4.Faget!M31+a.4.Buzias!M31</f>
        <v>0</v>
      </c>
      <c r="M31" s="420">
        <v>0</v>
      </c>
      <c r="N31" s="420">
        <v>0</v>
      </c>
      <c r="O31" s="420">
        <v>0</v>
      </c>
      <c r="P31" s="496">
        <v>0</v>
      </c>
      <c r="Q31" s="114">
        <f t="shared" si="4"/>
        <v>0</v>
      </c>
    </row>
    <row r="32" spans="1:17" ht="20.25" customHeight="1" thickBot="1" x14ac:dyDescent="0.25">
      <c r="A32" s="978"/>
      <c r="B32" s="102"/>
      <c r="C32" s="102"/>
      <c r="D32" s="102" t="s">
        <v>54</v>
      </c>
      <c r="E32" s="102" t="s">
        <v>335</v>
      </c>
      <c r="F32" s="290"/>
      <c r="G32" s="84">
        <f t="shared" si="7"/>
        <v>20</v>
      </c>
      <c r="H32" s="432">
        <f>a.4.Timisoara!I32+a.4.Loc.TM!I32+a.4.Deta!I32+a.4.Jimbolia!I32+a.4.Sannicolau!I32+a.4.Faget!I32+a.4.Buzias!I32</f>
        <v>0</v>
      </c>
      <c r="I32" s="432">
        <f>a.4.Timisoara!J32+a.4.Loc.TM!J32+a.4.Deta!J32+a.4.Jimbolia!J32+a.4.Sannicolau!J32+a.4.Faget!J32+a.4.Buzias!J32</f>
        <v>0</v>
      </c>
      <c r="J32" s="432">
        <f>a.4.Timisoara!K32+a.4.Loc.TM!K32+a.4.Deta!K32+a.4.Jimbolia!K32+a.4.Sannicolau!K32+a.4.Faget!K32+a.4.Buzias!K32</f>
        <v>0</v>
      </c>
      <c r="K32" s="432">
        <f>a.4.Timisoara!L32+a.4.Loc.TM!L32+a.4.Deta!L32+a.4.Jimbolia!L32+a.4.Sannicolau!L32+a.4.Faget!L32+a.4.Buzias!L32</f>
        <v>0</v>
      </c>
      <c r="L32" s="432">
        <f>a.4.Timisoara!M32+a.4.Loc.TM!M32+a.4.Deta!M32+a.4.Jimbolia!M32+a.4.Sannicolau!M32+a.4.Faget!M32+a.4.Buzias!M32</f>
        <v>0</v>
      </c>
      <c r="M32" s="525"/>
      <c r="N32" s="525"/>
      <c r="O32" s="525"/>
      <c r="P32" s="496">
        <v>0</v>
      </c>
      <c r="Q32" s="114">
        <f t="shared" si="4"/>
        <v>0</v>
      </c>
    </row>
    <row r="33" spans="1:17" ht="13.5" thickBot="1" x14ac:dyDescent="0.25">
      <c r="A33" s="978"/>
      <c r="B33" s="102"/>
      <c r="C33" s="102"/>
      <c r="D33" s="102" t="s">
        <v>55</v>
      </c>
      <c r="E33" s="102" t="s">
        <v>321</v>
      </c>
      <c r="F33" s="290" t="s">
        <v>563</v>
      </c>
      <c r="G33" s="84">
        <f t="shared" si="7"/>
        <v>21</v>
      </c>
      <c r="H33" s="432">
        <f>a.4.Timisoara!I33+a.4.Loc.TM!I33+a.4.Deta!I33+a.4.Jimbolia!I33+a.4.Sannicolau!I33+a.4.Faget!I33+a.4.Buzias!I33</f>
        <v>807333.40800000005</v>
      </c>
      <c r="I33" s="432">
        <f>a.4.Timisoara!J33+a.4.Loc.TM!J33+a.4.Deta!J33+a.4.Jimbolia!J33+a.4.Sannicolau!J33+a.4.Faget!J33+a.4.Buzias!J33</f>
        <v>201780.85200000001</v>
      </c>
      <c r="J33" s="432">
        <f>a.4.Timisoara!K33+a.4.Loc.TM!K33+a.4.Deta!K33+a.4.Jimbolia!K33+a.4.Sannicolau!K33+a.4.Faget!K33+a.4.Buzias!K33</f>
        <v>201830.85200000001</v>
      </c>
      <c r="K33" s="432">
        <f>a.4.Timisoara!L33+a.4.Loc.TM!L33+a.4.Deta!L33+a.4.Jimbolia!L33+a.4.Sannicolau!L33+a.4.Faget!L33+a.4.Buzias!L33</f>
        <v>201880.85200000001</v>
      </c>
      <c r="L33" s="432">
        <f>a.4.Timisoara!M33+a.4.Loc.TM!M33+a.4.Deta!M33+a.4.Jimbolia!M33+a.4.Sannicolau!M33+a.4.Faget!M33+a.4.Buzias!M33</f>
        <v>201840.85200000001</v>
      </c>
      <c r="M33" s="525">
        <f>3037410-M27</f>
        <v>1109587</v>
      </c>
      <c r="N33" s="548">
        <v>73242</v>
      </c>
      <c r="O33" s="525">
        <f>SUM(M33:N33)</f>
        <v>1182829</v>
      </c>
      <c r="P33" s="496">
        <v>807333.40800000005</v>
      </c>
      <c r="Q33" s="114">
        <f t="shared" si="4"/>
        <v>0</v>
      </c>
    </row>
    <row r="34" spans="1:17" ht="24.75" customHeight="1" thickBot="1" x14ac:dyDescent="0.25">
      <c r="A34" s="978"/>
      <c r="B34" s="282" t="s">
        <v>21</v>
      </c>
      <c r="C34" s="282"/>
      <c r="D34" s="1015" t="s">
        <v>336</v>
      </c>
      <c r="E34" s="1017"/>
      <c r="F34" s="283"/>
      <c r="G34" s="284">
        <f t="shared" si="7"/>
        <v>22</v>
      </c>
      <c r="H34" s="417">
        <f>a.4.Timisoara!I34+a.4.Loc.TM!I34+a.4.Deta!I34+a.4.Jimbolia!I34+a.4.Sannicolau!I34+a.4.Faget!I34+a.4.Buzias!I34</f>
        <v>950057.674</v>
      </c>
      <c r="I34" s="417">
        <f>a.4.Timisoara!J34+a.4.Loc.TM!J34+a.4.Deta!J34+a.4.Jimbolia!J34+a.4.Sannicolau!J34+a.4.Faget!J34+a.4.Buzias!J34</f>
        <v>300012.80599999998</v>
      </c>
      <c r="J34" s="417">
        <f>a.4.Timisoara!K34+a.4.Loc.TM!K34+a.4.Deta!K34+a.4.Jimbolia!K34+a.4.Sannicolau!K34+a.4.Faget!K34+a.4.Buzias!K34</f>
        <v>250014.06600000002</v>
      </c>
      <c r="K34" s="417">
        <f>a.4.Timisoara!L34+a.4.Loc.TM!L34+a.4.Deta!L34+a.4.Jimbolia!L34+a.4.Sannicolau!L34+a.4.Faget!L34+a.4.Buzias!L34</f>
        <v>200015.62600000002</v>
      </c>
      <c r="L34" s="417">
        <f>a.4.Timisoara!M34+a.4.Loc.TM!M34+a.4.Deta!M34+a.4.Jimbolia!M34+a.4.Sannicolau!M34+a.4.Faget!M34+a.4.Buzias!M34</f>
        <v>200015.17600000001</v>
      </c>
      <c r="M34" s="422">
        <f t="shared" ref="M34:O34" si="16">M35+M36+M37+M38+M39</f>
        <v>1616108</v>
      </c>
      <c r="N34" s="422">
        <f t="shared" ref="N34" si="17">N35+N36+N37+N38+N39</f>
        <v>171937</v>
      </c>
      <c r="O34" s="422">
        <f t="shared" si="16"/>
        <v>1788045</v>
      </c>
      <c r="P34" s="418">
        <v>950057.674</v>
      </c>
      <c r="Q34" s="114">
        <f t="shared" si="4"/>
        <v>0</v>
      </c>
    </row>
    <row r="35" spans="1:17" ht="13.5" thickBot="1" x14ac:dyDescent="0.25">
      <c r="A35" s="978"/>
      <c r="B35" s="1018"/>
      <c r="C35" s="71" t="s">
        <v>27</v>
      </c>
      <c r="D35" s="973" t="s">
        <v>337</v>
      </c>
      <c r="E35" s="974"/>
      <c r="F35" s="275"/>
      <c r="G35" s="84">
        <f t="shared" si="7"/>
        <v>23</v>
      </c>
      <c r="H35" s="432">
        <f>a.4.Timisoara!I35+a.4.Loc.TM!I35+a.4.Deta!I35+a.4.Jimbolia!I35+a.4.Sannicolau!I35+a.4.Faget!I35+a.4.Buzias!I35</f>
        <v>0</v>
      </c>
      <c r="I35" s="432">
        <f>a.4.Timisoara!J35+a.4.Loc.TM!J35+a.4.Deta!J35+a.4.Jimbolia!J35+a.4.Sannicolau!J35+a.4.Faget!J35+a.4.Buzias!J35</f>
        <v>0</v>
      </c>
      <c r="J35" s="432">
        <f>a.4.Timisoara!K35+a.4.Loc.TM!K35+a.4.Deta!K35+a.4.Jimbolia!K35+a.4.Sannicolau!K35+a.4.Faget!K35+a.4.Buzias!K35</f>
        <v>0</v>
      </c>
      <c r="K35" s="432">
        <f>a.4.Timisoara!L35+a.4.Loc.TM!L35+a.4.Deta!L35+a.4.Jimbolia!L35+a.4.Sannicolau!L35+a.4.Faget!L35+a.4.Buzias!L35</f>
        <v>0</v>
      </c>
      <c r="L35" s="432">
        <f>a.4.Timisoara!M35+a.4.Loc.TM!M35+a.4.Deta!M35+a.4.Jimbolia!M35+a.4.Sannicolau!M35+a.4.Faget!M35+a.4.Buzias!M35</f>
        <v>0</v>
      </c>
      <c r="M35" s="402"/>
      <c r="N35" s="402"/>
      <c r="O35" s="402">
        <f>SUM(M35:N35)</f>
        <v>0</v>
      </c>
      <c r="P35" s="496">
        <v>0</v>
      </c>
      <c r="Q35" s="114">
        <f t="shared" si="4"/>
        <v>0</v>
      </c>
    </row>
    <row r="36" spans="1:17" ht="13.5" thickBot="1" x14ac:dyDescent="0.25">
      <c r="A36" s="978"/>
      <c r="B36" s="1019"/>
      <c r="C36" s="71" t="s">
        <v>38</v>
      </c>
      <c r="D36" s="973" t="s">
        <v>338</v>
      </c>
      <c r="E36" s="974"/>
      <c r="F36" s="275"/>
      <c r="G36" s="84">
        <f t="shared" si="7"/>
        <v>24</v>
      </c>
      <c r="H36" s="432">
        <f>a.4.Timisoara!I36+a.4.Loc.TM!I36+a.4.Deta!I36+a.4.Jimbolia!I36+a.4.Sannicolau!I36+a.4.Faget!I36+a.4.Buzias!I36</f>
        <v>0</v>
      </c>
      <c r="I36" s="432">
        <f>a.4.Timisoara!J36+a.4.Loc.TM!J36+a.4.Deta!J36+a.4.Jimbolia!J36+a.4.Sannicolau!J36+a.4.Faget!J36+a.4.Buzias!J36</f>
        <v>0</v>
      </c>
      <c r="J36" s="432">
        <f>a.4.Timisoara!K36+a.4.Loc.TM!K36+a.4.Deta!K36+a.4.Jimbolia!K36+a.4.Sannicolau!K36+a.4.Faget!K36+a.4.Buzias!K36</f>
        <v>0</v>
      </c>
      <c r="K36" s="432">
        <f>a.4.Timisoara!L36+a.4.Loc.TM!L36+a.4.Deta!L36+a.4.Jimbolia!L36+a.4.Sannicolau!L36+a.4.Faget!L36+a.4.Buzias!L36</f>
        <v>0</v>
      </c>
      <c r="L36" s="432">
        <f>a.4.Timisoara!M36+a.4.Loc.TM!M36+a.4.Deta!M36+a.4.Jimbolia!M36+a.4.Sannicolau!M36+a.4.Faget!M36+a.4.Buzias!M36</f>
        <v>0</v>
      </c>
      <c r="M36" s="402"/>
      <c r="N36" s="402"/>
      <c r="O36" s="402">
        <f t="shared" ref="O36:O40" si="18">SUM(M36:N36)</f>
        <v>0</v>
      </c>
      <c r="P36" s="496">
        <v>0</v>
      </c>
      <c r="Q36" s="114">
        <f t="shared" si="4"/>
        <v>0</v>
      </c>
    </row>
    <row r="37" spans="1:17" ht="23.25" thickBot="1" x14ac:dyDescent="0.25">
      <c r="A37" s="978"/>
      <c r="B37" s="1019"/>
      <c r="C37" s="71" t="s">
        <v>40</v>
      </c>
      <c r="D37" s="973" t="s">
        <v>339</v>
      </c>
      <c r="E37" s="974"/>
      <c r="F37" s="275" t="s">
        <v>564</v>
      </c>
      <c r="G37" s="84">
        <f t="shared" si="7"/>
        <v>25</v>
      </c>
      <c r="H37" s="432">
        <f>a.4.Timisoara!I37+a.4.Loc.TM!I37+a.4.Deta!I37+a.4.Jimbolia!I37+a.4.Sannicolau!I37+a.4.Faget!I37+a.4.Buzias!I37</f>
        <v>450000</v>
      </c>
      <c r="I37" s="432">
        <f>a.4.Timisoara!J37+a.4.Loc.TM!J37+a.4.Deta!J37+a.4.Jimbolia!J37+a.4.Sannicolau!J37+a.4.Faget!J37+a.4.Buzias!J37</f>
        <v>150000</v>
      </c>
      <c r="J37" s="432">
        <f>a.4.Timisoara!K37+a.4.Loc.TM!K37+a.4.Deta!K37+a.4.Jimbolia!K37+a.4.Sannicolau!K37+a.4.Faget!K37+a.4.Buzias!K37</f>
        <v>100000</v>
      </c>
      <c r="K37" s="432">
        <f>a.4.Timisoara!L37+a.4.Loc.TM!L37+a.4.Deta!L37+a.4.Jimbolia!L37+a.4.Sannicolau!L37+a.4.Faget!L37+a.4.Buzias!L37</f>
        <v>100000</v>
      </c>
      <c r="L37" s="432">
        <f>a.4.Timisoara!M37+a.4.Loc.TM!M37+a.4.Deta!M37+a.4.Jimbolia!M37+a.4.Sannicolau!M37+a.4.Faget!M37+a.4.Buzias!M37</f>
        <v>100000</v>
      </c>
      <c r="M37" s="402">
        <f>805394+146</f>
        <v>805540</v>
      </c>
      <c r="N37" s="402">
        <v>97763</v>
      </c>
      <c r="O37" s="402">
        <f t="shared" si="18"/>
        <v>903303</v>
      </c>
      <c r="P37" s="496">
        <v>450000</v>
      </c>
      <c r="Q37" s="114">
        <f t="shared" si="4"/>
        <v>0</v>
      </c>
    </row>
    <row r="38" spans="1:17" ht="23.25" thickBot="1" x14ac:dyDescent="0.25">
      <c r="A38" s="978"/>
      <c r="B38" s="1019"/>
      <c r="C38" s="71" t="s">
        <v>42</v>
      </c>
      <c r="D38" s="973" t="s">
        <v>340</v>
      </c>
      <c r="E38" s="974"/>
      <c r="F38" s="275" t="s">
        <v>565</v>
      </c>
      <c r="G38" s="84">
        <f t="shared" si="7"/>
        <v>26</v>
      </c>
      <c r="H38" s="432">
        <f>a.4.Timisoara!I38+a.4.Loc.TM!I38+a.4.Deta!I38+a.4.Jimbolia!I38+a.4.Sannicolau!I38+a.4.Faget!I38+a.4.Buzias!I38</f>
        <v>500057.674</v>
      </c>
      <c r="I38" s="432">
        <f>a.4.Timisoara!J38+a.4.Loc.TM!J38+a.4.Deta!J38+a.4.Jimbolia!J38+a.4.Sannicolau!J38+a.4.Faget!J38+a.4.Buzias!J38</f>
        <v>150012.80600000001</v>
      </c>
      <c r="J38" s="432">
        <f>a.4.Timisoara!K38+a.4.Loc.TM!K38+a.4.Deta!K38+a.4.Jimbolia!K38+a.4.Sannicolau!K38+a.4.Faget!K38+a.4.Buzias!K38</f>
        <v>150014.06600000002</v>
      </c>
      <c r="K38" s="432">
        <f>a.4.Timisoara!L38+a.4.Loc.TM!L38+a.4.Deta!L38+a.4.Jimbolia!L38+a.4.Sannicolau!L38+a.4.Faget!L38+a.4.Buzias!L38</f>
        <v>100015.626</v>
      </c>
      <c r="L38" s="432">
        <f>a.4.Timisoara!M38+a.4.Loc.TM!M38+a.4.Deta!M38+a.4.Jimbolia!M38+a.4.Sannicolau!M38+a.4.Faget!M38+a.4.Buzias!M38</f>
        <v>100015.17600000001</v>
      </c>
      <c r="M38" s="402">
        <v>810568</v>
      </c>
      <c r="N38" s="402">
        <v>74174</v>
      </c>
      <c r="O38" s="402">
        <f t="shared" si="18"/>
        <v>884742</v>
      </c>
      <c r="P38" s="496">
        <v>500057.674</v>
      </c>
      <c r="Q38" s="114">
        <f t="shared" si="4"/>
        <v>0</v>
      </c>
    </row>
    <row r="39" spans="1:17" ht="13.5" thickBot="1" x14ac:dyDescent="0.25">
      <c r="A39" s="978"/>
      <c r="B39" s="1020"/>
      <c r="C39" s="71" t="s">
        <v>28</v>
      </c>
      <c r="D39" s="973" t="s">
        <v>341</v>
      </c>
      <c r="E39" s="974"/>
      <c r="F39" s="275" t="s">
        <v>566</v>
      </c>
      <c r="G39" s="84">
        <f t="shared" si="7"/>
        <v>27</v>
      </c>
      <c r="H39" s="432">
        <f>a.4.Timisoara!I39+a.4.Loc.TM!I39+a.4.Deta!I39+a.4.Jimbolia!I39+a.4.Sannicolau!I39+a.4.Faget!I39+a.4.Buzias!I39</f>
        <v>0</v>
      </c>
      <c r="I39" s="432">
        <f>a.4.Timisoara!J39+a.4.Loc.TM!J39+a.4.Deta!J39+a.4.Jimbolia!J39+a.4.Sannicolau!J39+a.4.Faget!J39+a.4.Buzias!J39</f>
        <v>0</v>
      </c>
      <c r="J39" s="432">
        <f>a.4.Timisoara!K39+a.4.Loc.TM!K39+a.4.Deta!K39+a.4.Jimbolia!K39+a.4.Sannicolau!K39+a.4.Faget!K39+a.4.Buzias!K39</f>
        <v>0</v>
      </c>
      <c r="K39" s="432">
        <f>a.4.Timisoara!L39+a.4.Loc.TM!L39+a.4.Deta!L39+a.4.Jimbolia!L39+a.4.Sannicolau!L39+a.4.Faget!L39+a.4.Buzias!L39</f>
        <v>0</v>
      </c>
      <c r="L39" s="432">
        <f>a.4.Timisoara!M39+a.4.Loc.TM!M39+a.4.Deta!M39+a.4.Jimbolia!M39+a.4.Sannicolau!M39+a.4.Faget!M39+a.4.Buzias!M39</f>
        <v>0</v>
      </c>
      <c r="M39" s="402"/>
      <c r="N39" s="402"/>
      <c r="O39" s="402">
        <f t="shared" si="18"/>
        <v>0</v>
      </c>
      <c r="P39" s="496">
        <v>0</v>
      </c>
      <c r="Q39" s="114">
        <f t="shared" si="4"/>
        <v>0</v>
      </c>
    </row>
    <row r="40" spans="1:17" ht="13.5" thickBot="1" x14ac:dyDescent="0.25">
      <c r="A40" s="979"/>
      <c r="B40" s="71" t="s">
        <v>17</v>
      </c>
      <c r="C40" s="71"/>
      <c r="D40" s="973" t="s">
        <v>115</v>
      </c>
      <c r="E40" s="974"/>
      <c r="F40" s="275"/>
      <c r="G40" s="84">
        <f t="shared" si="7"/>
        <v>28</v>
      </c>
      <c r="H40" s="432">
        <f>a.4.Timisoara!I40+a.4.Loc.TM!I40+a.4.Deta!I40+a.4.Jimbolia!I40+a.4.Sannicolau!I40+a.4.Faget!I40+a.4.Buzias!I40</f>
        <v>0</v>
      </c>
      <c r="I40" s="432">
        <f>a.4.Timisoara!J40+a.4.Loc.TM!J40+a.4.Deta!J40+a.4.Jimbolia!J40+a.4.Sannicolau!J40+a.4.Faget!J40+a.4.Buzias!J40</f>
        <v>0</v>
      </c>
      <c r="J40" s="432">
        <f>a.4.Timisoara!K40+a.4.Loc.TM!K40+a.4.Deta!K40+a.4.Jimbolia!K40+a.4.Sannicolau!K40+a.4.Faget!K40+a.4.Buzias!K40</f>
        <v>0</v>
      </c>
      <c r="K40" s="432">
        <f>a.4.Timisoara!L40+a.4.Loc.TM!L40+a.4.Deta!L40+a.4.Jimbolia!L40+a.4.Sannicolau!L40+a.4.Faget!L40+a.4.Buzias!L40</f>
        <v>0</v>
      </c>
      <c r="L40" s="432">
        <f>a.4.Timisoara!M40+a.4.Loc.TM!M40+a.4.Deta!M40+a.4.Jimbolia!M40+a.4.Sannicolau!M40+a.4.Faget!M40+a.4.Buzias!M40</f>
        <v>0</v>
      </c>
      <c r="M40" s="402"/>
      <c r="N40" s="402"/>
      <c r="O40" s="402">
        <f t="shared" si="18"/>
        <v>0</v>
      </c>
      <c r="P40" s="496">
        <v>0</v>
      </c>
      <c r="Q40" s="114">
        <f t="shared" si="4"/>
        <v>0</v>
      </c>
    </row>
    <row r="41" spans="1:17" ht="13.5" thickBot="1" x14ac:dyDescent="0.25">
      <c r="A41" s="87" t="s">
        <v>23</v>
      </c>
      <c r="B41" s="1023" t="s">
        <v>463</v>
      </c>
      <c r="C41" s="1024"/>
      <c r="D41" s="1024"/>
      <c r="E41" s="1025"/>
      <c r="F41" s="292"/>
      <c r="G41" s="284">
        <f t="shared" si="7"/>
        <v>29</v>
      </c>
      <c r="H41" s="417">
        <f>a.4.Timisoara!I41+a.4.Loc.TM!I41+a.4.Deta!I41+a.4.Jimbolia!I41+a.4.Sannicolau!I41+a.4.Faget!I41+a.4.Buzias!I41</f>
        <v>126930334.85888</v>
      </c>
      <c r="I41" s="417">
        <f>a.4.Timisoara!J41+a.4.Loc.TM!J41+a.4.Deta!J41+a.4.Jimbolia!J41+a.4.Sannicolau!J41+a.4.Faget!J41+a.4.Buzias!J41</f>
        <v>26828189.174519997</v>
      </c>
      <c r="J41" s="417">
        <f>a.4.Timisoara!K41+a.4.Loc.TM!K41+a.4.Deta!K41+a.4.Jimbolia!K41+a.4.Sannicolau!K41+a.4.Faget!K41+a.4.Buzias!K41</f>
        <v>30030229.225339994</v>
      </c>
      <c r="K41" s="417">
        <f>a.4.Timisoara!L41+a.4.Loc.TM!L41+a.4.Deta!L41+a.4.Jimbolia!L41+a.4.Sannicolau!L41+a.4.Faget!L41+a.4.Buzias!L41</f>
        <v>33061463.856080003</v>
      </c>
      <c r="L41" s="417">
        <f>a.4.Timisoara!M41+a.4.Loc.TM!M41+a.4.Deta!M41+a.4.Jimbolia!M41+a.4.Sannicolau!M41+a.4.Faget!M41+a.4.Buzias!M41</f>
        <v>37010452.602939986</v>
      </c>
      <c r="M41" s="415">
        <f t="shared" ref="M41:O41" si="19">M42+M182+M190</f>
        <v>90063737</v>
      </c>
      <c r="N41" s="415">
        <f t="shared" ref="N41" si="20">N42+N182+N190</f>
        <v>18451999.634520002</v>
      </c>
      <c r="O41" s="415">
        <f t="shared" si="19"/>
        <v>108845474.63451999</v>
      </c>
      <c r="P41" s="418">
        <v>121251167.85888</v>
      </c>
      <c r="Q41" s="732">
        <f t="shared" si="4"/>
        <v>5679167</v>
      </c>
    </row>
    <row r="42" spans="1:17" ht="24" customHeight="1" thickBot="1" x14ac:dyDescent="0.25">
      <c r="A42" s="977"/>
      <c r="B42" s="293" t="s">
        <v>4</v>
      </c>
      <c r="C42" s="1026" t="s">
        <v>464</v>
      </c>
      <c r="D42" s="1027"/>
      <c r="E42" s="1028"/>
      <c r="F42" s="277"/>
      <c r="G42" s="97">
        <f t="shared" si="7"/>
        <v>30</v>
      </c>
      <c r="H42" s="426">
        <f>a.4.Timisoara!I42+a.4.Loc.TM!I42+a.4.Deta!I42+a.4.Jimbolia!I42+a.4.Sannicolau!I42+a.4.Faget!I42+a.4.Buzias!I42</f>
        <v>125120334.85888</v>
      </c>
      <c r="I42" s="426">
        <f>a.4.Timisoara!J42+a.4.Loc.TM!J42+a.4.Deta!J42+a.4.Jimbolia!J42+a.4.Sannicolau!J42+a.4.Faget!J42+a.4.Buzias!J42</f>
        <v>26258189.174519997</v>
      </c>
      <c r="J42" s="426">
        <f>a.4.Timisoara!K42+a.4.Loc.TM!K42+a.4.Deta!K42+a.4.Jimbolia!K42+a.4.Sannicolau!K42+a.4.Faget!K42+a.4.Buzias!K42</f>
        <v>29830229.225339994</v>
      </c>
      <c r="K42" s="426">
        <f>a.4.Timisoara!L42+a.4.Loc.TM!L42+a.4.Deta!L42+a.4.Jimbolia!L42+a.4.Sannicolau!L42+a.4.Faget!L42+a.4.Buzias!L42</f>
        <v>32306463.856080003</v>
      </c>
      <c r="L42" s="426">
        <f>a.4.Timisoara!M42+a.4.Loc.TM!M42+a.4.Deta!M42+a.4.Jimbolia!M42+a.4.Sannicolau!M42+a.4.Faget!M42+a.4.Buzias!M42</f>
        <v>36725452.602939993</v>
      </c>
      <c r="M42" s="424">
        <f t="shared" ref="M42:O42" si="21">M43+M115+M131+M165</f>
        <v>88909719</v>
      </c>
      <c r="N42" s="424">
        <f t="shared" ref="N42" si="22">N43+N115+N131+N165</f>
        <v>17816940.634520002</v>
      </c>
      <c r="O42" s="424">
        <f t="shared" si="21"/>
        <v>107056397.63451999</v>
      </c>
      <c r="P42" s="427">
        <v>119441167.85888</v>
      </c>
      <c r="Q42" s="732">
        <f t="shared" si="4"/>
        <v>5679167</v>
      </c>
    </row>
    <row r="43" spans="1:17" ht="25.5" customHeight="1" thickBot="1" x14ac:dyDescent="0.25">
      <c r="A43" s="978"/>
      <c r="B43" s="1029"/>
      <c r="C43" s="1026" t="s">
        <v>473</v>
      </c>
      <c r="D43" s="1027"/>
      <c r="E43" s="1028"/>
      <c r="F43" s="277"/>
      <c r="G43" s="97">
        <f t="shared" si="7"/>
        <v>31</v>
      </c>
      <c r="H43" s="426">
        <f>a.4.Timisoara!I43+a.4.Loc.TM!I43+a.4.Deta!I43+a.4.Jimbolia!I43+a.4.Sannicolau!I43+a.4.Faget!I43+a.4.Buzias!I43</f>
        <v>55297567.43</v>
      </c>
      <c r="I43" s="426">
        <f>a.4.Timisoara!J43+a.4.Loc.TM!J43+a.4.Deta!J43+a.4.Jimbolia!J43+a.4.Sannicolau!J43+a.4.Faget!J43+a.4.Buzias!J43</f>
        <v>12560373.84</v>
      </c>
      <c r="J43" s="426">
        <f>a.4.Timisoara!K43+a.4.Loc.TM!K43+a.4.Deta!K43+a.4.Jimbolia!K43+a.4.Sannicolau!K43+a.4.Faget!K43+a.4.Buzias!K43</f>
        <v>14097800.75</v>
      </c>
      <c r="K43" s="426">
        <f>a.4.Timisoara!L43+a.4.Loc.TM!L43+a.4.Deta!L43+a.4.Jimbolia!L43+a.4.Sannicolau!L43+a.4.Faget!L43+a.4.Buzias!L43</f>
        <v>14959815.210000001</v>
      </c>
      <c r="L43" s="426">
        <f>a.4.Timisoara!M43+a.4.Loc.TM!M43+a.4.Deta!M43+a.4.Jimbolia!M43+a.4.Sannicolau!M43+a.4.Faget!M43+a.4.Buzias!M43</f>
        <v>13679577.630000001</v>
      </c>
      <c r="M43" s="424">
        <f t="shared" ref="M43:O43" si="23">M44+M65+M75</f>
        <v>38919686</v>
      </c>
      <c r="N43" s="424">
        <f t="shared" ref="N43" si="24">N44+N65+N75</f>
        <v>4261843</v>
      </c>
      <c r="O43" s="424">
        <f t="shared" si="23"/>
        <v>43553966</v>
      </c>
      <c r="P43" s="427">
        <v>54982567.43</v>
      </c>
      <c r="Q43" s="732">
        <f t="shared" si="4"/>
        <v>315000</v>
      </c>
    </row>
    <row r="44" spans="1:17" ht="17.25" customHeight="1" thickBot="1" x14ac:dyDescent="0.25">
      <c r="A44" s="978"/>
      <c r="B44" s="1030"/>
      <c r="C44" s="294" t="s">
        <v>265</v>
      </c>
      <c r="D44" s="986" t="s">
        <v>342</v>
      </c>
      <c r="E44" s="988"/>
      <c r="F44" s="276"/>
      <c r="G44" s="97">
        <f t="shared" si="7"/>
        <v>32</v>
      </c>
      <c r="H44" s="426">
        <f>a.4.Timisoara!I44+a.4.Loc.TM!I44+a.4.Deta!I44+a.4.Jimbolia!I44+a.4.Sannicolau!I44+a.4.Faget!I44+a.4.Buzias!I44</f>
        <v>38307838.230000004</v>
      </c>
      <c r="I44" s="426">
        <f>a.4.Timisoara!J44+a.4.Loc.TM!J44+a.4.Deta!J44+a.4.Jimbolia!J44+a.4.Sannicolau!J44+a.4.Faget!J44+a.4.Buzias!J44</f>
        <v>9146859.0700000003</v>
      </c>
      <c r="J44" s="426">
        <f>a.4.Timisoara!K44+a.4.Loc.TM!K44+a.4.Deta!K44+a.4.Jimbolia!K44+a.4.Sannicolau!K44+a.4.Faget!K44+a.4.Buzias!K44</f>
        <v>9815889.75</v>
      </c>
      <c r="K44" s="426">
        <f>a.4.Timisoara!L44+a.4.Loc.TM!L44+a.4.Deta!L44+a.4.Jimbolia!L44+a.4.Sannicolau!L44+a.4.Faget!L44+a.4.Buzias!L44</f>
        <v>10224123.880000001</v>
      </c>
      <c r="L44" s="426">
        <f>a.4.Timisoara!M44+a.4.Loc.TM!M44+a.4.Deta!M44+a.4.Jimbolia!M44+a.4.Sannicolau!M44+a.4.Faget!M44+a.4.Buzias!M44</f>
        <v>9120965.5300000012</v>
      </c>
      <c r="M44" s="426">
        <f t="shared" ref="M44:O44" si="25">M45+M46+M57+M58+M64</f>
        <v>29241424</v>
      </c>
      <c r="N44" s="426">
        <f t="shared" ref="N44" si="26">N45+N46+N57+N58+N64</f>
        <v>3076476</v>
      </c>
      <c r="O44" s="426">
        <f t="shared" si="25"/>
        <v>32317900</v>
      </c>
      <c r="P44" s="427">
        <v>38307838.230000004</v>
      </c>
      <c r="Q44" s="114">
        <f t="shared" si="4"/>
        <v>0</v>
      </c>
    </row>
    <row r="45" spans="1:17" ht="23.25" thickBot="1" x14ac:dyDescent="0.25">
      <c r="A45" s="978"/>
      <c r="B45" s="1030"/>
      <c r="C45" s="71" t="s">
        <v>27</v>
      </c>
      <c r="D45" s="973" t="s">
        <v>227</v>
      </c>
      <c r="E45" s="974"/>
      <c r="F45" s="275" t="s">
        <v>567</v>
      </c>
      <c r="G45" s="84">
        <f t="shared" si="7"/>
        <v>33</v>
      </c>
      <c r="H45" s="432">
        <f>a.4.Timisoara!I45+a.4.Loc.TM!I45+a.4.Deta!I45+a.4.Jimbolia!I45+a.4.Sannicolau!I45+a.4.Faget!I45+a.4.Buzias!I45</f>
        <v>2081815.31</v>
      </c>
      <c r="I45" s="432">
        <f>a.4.Timisoara!J45+a.4.Loc.TM!J45+a.4.Deta!J45+a.4.Jimbolia!J45+a.4.Sannicolau!J45+a.4.Faget!J45+a.4.Buzias!J45</f>
        <v>507613.15</v>
      </c>
      <c r="J45" s="432">
        <f>a.4.Timisoara!K45+a.4.Loc.TM!K45+a.4.Deta!K45+a.4.Jimbolia!K45+a.4.Sannicolau!K45+a.4.Faget!K45+a.4.Buzias!K45</f>
        <v>557643.14999999991</v>
      </c>
      <c r="K45" s="432">
        <f>a.4.Timisoara!L45+a.4.Loc.TM!L45+a.4.Deta!L45+a.4.Jimbolia!L45+a.4.Sannicolau!L45+a.4.Faget!L45+a.4.Buzias!L45</f>
        <v>457743.15</v>
      </c>
      <c r="L45" s="432">
        <f>a.4.Timisoara!M45+a.4.Loc.TM!M45+a.4.Deta!M45+a.4.Jimbolia!M45+a.4.Sannicolau!M45+a.4.Faget!M45+a.4.Buzias!M45</f>
        <v>558815.86</v>
      </c>
      <c r="M45" s="405">
        <f>403299+1119175</f>
        <v>1522474</v>
      </c>
      <c r="N45" s="405">
        <f>82051+34980</f>
        <v>117031</v>
      </c>
      <c r="O45" s="483">
        <f>SUM(M45:N45)</f>
        <v>1639505</v>
      </c>
      <c r="P45" s="496">
        <v>2081815.31</v>
      </c>
      <c r="Q45" s="114">
        <f t="shared" si="4"/>
        <v>0</v>
      </c>
    </row>
    <row r="46" spans="1:17" ht="13.5" thickBot="1" x14ac:dyDescent="0.25">
      <c r="A46" s="978"/>
      <c r="B46" s="1030"/>
      <c r="C46" s="71" t="s">
        <v>38</v>
      </c>
      <c r="D46" s="973" t="s">
        <v>267</v>
      </c>
      <c r="E46" s="974"/>
      <c r="F46" s="275" t="s">
        <v>568</v>
      </c>
      <c r="G46" s="84">
        <f t="shared" si="7"/>
        <v>34</v>
      </c>
      <c r="H46" s="432">
        <f>a.4.Timisoara!I46+a.4.Loc.TM!I46+a.4.Deta!I46+a.4.Jimbolia!I46+a.4.Sannicolau!I46+a.4.Faget!I46+a.4.Buzias!I46</f>
        <v>7312656.6399999997</v>
      </c>
      <c r="I46" s="432">
        <f>a.4.Timisoara!J46+a.4.Loc.TM!J46+a.4.Deta!J46+a.4.Jimbolia!J46+a.4.Sannicolau!J46+a.4.Faget!J46+a.4.Buzias!J46</f>
        <v>1560692.88</v>
      </c>
      <c r="J46" s="432">
        <f>a.4.Timisoara!K46+a.4.Loc.TM!K46+a.4.Deta!K46+a.4.Jimbolia!K46+a.4.Sannicolau!K46+a.4.Faget!K46+a.4.Buzias!K46</f>
        <v>2004429.69</v>
      </c>
      <c r="K46" s="432">
        <f>a.4.Timisoara!L46+a.4.Loc.TM!L46+a.4.Deta!L46+a.4.Jimbolia!L46+a.4.Sannicolau!L46+a.4.Faget!L46+a.4.Buzias!L46</f>
        <v>1987998.4</v>
      </c>
      <c r="L46" s="432">
        <f>a.4.Timisoara!M46+a.4.Loc.TM!M46+a.4.Deta!M46+a.4.Jimbolia!M46+a.4.Sannicolau!M46+a.4.Faget!M46+a.4.Buzias!M46</f>
        <v>1759535.67</v>
      </c>
      <c r="M46" s="483">
        <f t="shared" ref="M46" si="27">M47+M54</f>
        <v>5782129</v>
      </c>
      <c r="N46" s="483">
        <f t="shared" ref="N46:O46" si="28">N47+N54</f>
        <v>444686</v>
      </c>
      <c r="O46" s="483">
        <f t="shared" si="28"/>
        <v>6226815</v>
      </c>
      <c r="P46" s="496">
        <v>7312656.6399999997</v>
      </c>
      <c r="Q46" s="114">
        <f t="shared" si="4"/>
        <v>0</v>
      </c>
    </row>
    <row r="47" spans="1:17" ht="20.25" customHeight="1" thickBot="1" x14ac:dyDescent="0.25">
      <c r="A47" s="978"/>
      <c r="B47" s="1030"/>
      <c r="C47" s="71"/>
      <c r="D47" s="71" t="s">
        <v>76</v>
      </c>
      <c r="E47" s="71" t="s">
        <v>569</v>
      </c>
      <c r="F47" s="86">
        <v>602</v>
      </c>
      <c r="G47" s="84">
        <f t="shared" si="7"/>
        <v>35</v>
      </c>
      <c r="H47" s="432">
        <f>a.4.Timisoara!I47+a.4.Loc.TM!I47+a.4.Deta!I47+a.4.Jimbolia!I47+a.4.Sannicolau!I47+a.4.Faget!I47+a.4.Buzias!I47</f>
        <v>4604339.93</v>
      </c>
      <c r="I47" s="432">
        <f>a.4.Timisoara!J47+a.4.Loc.TM!J47+a.4.Deta!J47+a.4.Jimbolia!J47+a.4.Sannicolau!J47+a.4.Faget!J47+a.4.Buzias!J47</f>
        <v>949342.86</v>
      </c>
      <c r="J47" s="432">
        <f>a.4.Timisoara!K47+a.4.Loc.TM!K47+a.4.Deta!K47+a.4.Jimbolia!K47+a.4.Sannicolau!K47+a.4.Faget!K47+a.4.Buzias!K47</f>
        <v>1283331.17</v>
      </c>
      <c r="K47" s="432">
        <f>a.4.Timisoara!L47+a.4.Loc.TM!L47+a.4.Deta!L47+a.4.Jimbolia!L47+a.4.Sannicolau!L47+a.4.Faget!L47+a.4.Buzias!L47</f>
        <v>1251062.23</v>
      </c>
      <c r="L47" s="432">
        <f>a.4.Timisoara!M47+a.4.Loc.TM!M47+a.4.Deta!M47+a.4.Jimbolia!M47+a.4.Sannicolau!M47+a.4.Faget!M47+a.4.Buzias!M47</f>
        <v>1120603.67</v>
      </c>
      <c r="M47" s="405">
        <f t="shared" ref="M47" si="29">SUM(M48:M53)</f>
        <v>3911685</v>
      </c>
      <c r="N47" s="405">
        <f>SUM(N48:N53)</f>
        <v>304691</v>
      </c>
      <c r="O47" s="405">
        <f>SUM(M47:N47)</f>
        <v>4216376</v>
      </c>
      <c r="P47" s="496">
        <v>4604339.93</v>
      </c>
      <c r="Q47" s="114">
        <f t="shared" si="4"/>
        <v>0</v>
      </c>
    </row>
    <row r="48" spans="1:17" ht="13.5" thickBot="1" x14ac:dyDescent="0.25">
      <c r="A48" s="978"/>
      <c r="B48" s="1030"/>
      <c r="C48" s="295"/>
      <c r="D48" s="295"/>
      <c r="E48" s="71" t="s">
        <v>570</v>
      </c>
      <c r="F48" s="296" t="s">
        <v>571</v>
      </c>
      <c r="G48" s="84"/>
      <c r="H48" s="432">
        <f>a.4.Timisoara!I48+a.4.Loc.TM!I48+a.4.Deta!I48+a.4.Jimbolia!I48+a.4.Sannicolau!I48+a.4.Faget!I48+a.4.Buzias!I48</f>
        <v>2399257.19</v>
      </c>
      <c r="I48" s="432">
        <f>a.4.Timisoara!J48+a.4.Loc.TM!J48+a.4.Deta!J48+a.4.Jimbolia!J48+a.4.Sannicolau!J48+a.4.Faget!J48+a.4.Buzias!J48</f>
        <v>557582.16999999993</v>
      </c>
      <c r="J48" s="432">
        <f>a.4.Timisoara!K48+a.4.Loc.TM!K48+a.4.Deta!K48+a.4.Jimbolia!K48+a.4.Sannicolau!K48+a.4.Faget!K48+a.4.Buzias!K48</f>
        <v>638164.47999999998</v>
      </c>
      <c r="K48" s="432">
        <f>a.4.Timisoara!L48+a.4.Loc.TM!L48+a.4.Deta!L48+a.4.Jimbolia!L48+a.4.Sannicolau!L48+a.4.Faget!L48+a.4.Buzias!L48</f>
        <v>609651.54</v>
      </c>
      <c r="L48" s="432">
        <f>a.4.Timisoara!M48+a.4.Loc.TM!M48+a.4.Deta!M48+a.4.Jimbolia!M48+a.4.Sannicolau!M48+a.4.Faget!M48+a.4.Buzias!M48</f>
        <v>593859</v>
      </c>
      <c r="M48" s="405">
        <f>2070416+319601</f>
        <v>2390017</v>
      </c>
      <c r="N48" s="405">
        <f>130327+17905</f>
        <v>148232</v>
      </c>
      <c r="O48" s="405">
        <f t="shared" ref="O48:O64" si="30">SUM(M48:N48)</f>
        <v>2538249</v>
      </c>
      <c r="P48" s="496">
        <v>2399257.19</v>
      </c>
      <c r="Q48" s="114">
        <f t="shared" si="4"/>
        <v>0</v>
      </c>
    </row>
    <row r="49" spans="1:17" ht="13.5" thickBot="1" x14ac:dyDescent="0.25">
      <c r="A49" s="978"/>
      <c r="B49" s="1030"/>
      <c r="C49" s="256"/>
      <c r="D49" s="256"/>
      <c r="E49" s="71" t="s">
        <v>572</v>
      </c>
      <c r="F49" s="296">
        <v>6024</v>
      </c>
      <c r="G49" s="84"/>
      <c r="H49" s="432">
        <f>a.4.Timisoara!I49+a.4.Loc.TM!I49+a.4.Deta!I49+a.4.Jimbolia!I49+a.4.Sannicolau!I49+a.4.Faget!I49+a.4.Buzias!I49</f>
        <v>730048.06</v>
      </c>
      <c r="I49" s="432">
        <f>a.4.Timisoara!J49+a.4.Loc.TM!J49+a.4.Deta!J49+a.4.Jimbolia!J49+a.4.Sannicolau!J49+a.4.Faget!J49+a.4.Buzias!J49</f>
        <v>154785.01999999999</v>
      </c>
      <c r="J49" s="432">
        <f>a.4.Timisoara!K49+a.4.Loc.TM!K49+a.4.Deta!K49+a.4.Jimbolia!K49+a.4.Sannicolau!K49+a.4.Faget!K49+a.4.Buzias!K49</f>
        <v>204735.02</v>
      </c>
      <c r="K49" s="432">
        <f>a.4.Timisoara!L49+a.4.Loc.TM!L49+a.4.Deta!L49+a.4.Jimbolia!L49+a.4.Sannicolau!L49+a.4.Faget!L49+a.4.Buzias!L49</f>
        <v>204735.02</v>
      </c>
      <c r="L49" s="432">
        <f>a.4.Timisoara!M49+a.4.Loc.TM!M49+a.4.Deta!M49+a.4.Jimbolia!M49+a.4.Sannicolau!M49+a.4.Faget!M49+a.4.Buzias!M49</f>
        <v>165793</v>
      </c>
      <c r="M49" s="405">
        <v>541450</v>
      </c>
      <c r="N49" s="405">
        <v>52626</v>
      </c>
      <c r="O49" s="405">
        <f t="shared" si="30"/>
        <v>594076</v>
      </c>
      <c r="P49" s="496">
        <v>730048.06</v>
      </c>
      <c r="Q49" s="114">
        <f t="shared" si="4"/>
        <v>0</v>
      </c>
    </row>
    <row r="50" spans="1:17" ht="13.5" thickBot="1" x14ac:dyDescent="0.25">
      <c r="A50" s="978"/>
      <c r="B50" s="1030"/>
      <c r="C50" s="256"/>
      <c r="D50" s="256"/>
      <c r="E50" s="71" t="s">
        <v>573</v>
      </c>
      <c r="F50" s="296">
        <v>6027</v>
      </c>
      <c r="G50" s="84"/>
      <c r="H50" s="432">
        <f>a.4.Timisoara!I50+a.4.Loc.TM!I50+a.4.Deta!I50+a.4.Jimbolia!I50+a.4.Sannicolau!I50+a.4.Faget!I50+a.4.Buzias!I50</f>
        <v>976656</v>
      </c>
      <c r="I50" s="432">
        <f>a.4.Timisoara!J50+a.4.Loc.TM!J50+a.4.Deta!J50+a.4.Jimbolia!J50+a.4.Sannicolau!J50+a.4.Faget!J50+a.4.Buzias!J50</f>
        <v>160461</v>
      </c>
      <c r="J50" s="432">
        <f>a.4.Timisoara!K50+a.4.Loc.TM!K50+a.4.Deta!K50+a.4.Jimbolia!K50+a.4.Sannicolau!K50+a.4.Faget!K50+a.4.Buzias!K50</f>
        <v>319267</v>
      </c>
      <c r="K50" s="432">
        <f>a.4.Timisoara!L50+a.4.Loc.TM!L50+a.4.Deta!L50+a.4.Jimbolia!L50+a.4.Sannicolau!L50+a.4.Faget!L50+a.4.Buzias!L50</f>
        <v>260461</v>
      </c>
      <c r="L50" s="432">
        <f>a.4.Timisoara!M50+a.4.Loc.TM!M50+a.4.Deta!M50+a.4.Jimbolia!M50+a.4.Sannicolau!M50+a.4.Faget!M50+a.4.Buzias!M50</f>
        <v>236467</v>
      </c>
      <c r="M50" s="405">
        <v>790310</v>
      </c>
      <c r="N50" s="405">
        <v>55831</v>
      </c>
      <c r="O50" s="405">
        <f t="shared" si="30"/>
        <v>846141</v>
      </c>
      <c r="P50" s="496">
        <v>976656</v>
      </c>
      <c r="Q50" s="114">
        <f t="shared" si="4"/>
        <v>0</v>
      </c>
    </row>
    <row r="51" spans="1:17" ht="13.5" thickBot="1" x14ac:dyDescent="0.25">
      <c r="A51" s="978"/>
      <c r="B51" s="1030"/>
      <c r="C51" s="256"/>
      <c r="D51" s="256"/>
      <c r="E51" s="71" t="s">
        <v>574</v>
      </c>
      <c r="F51" s="296" t="s">
        <v>575</v>
      </c>
      <c r="G51" s="84"/>
      <c r="H51" s="432">
        <f>a.4.Timisoara!I51+a.4.Loc.TM!I51+a.4.Deta!I51+a.4.Jimbolia!I51+a.4.Sannicolau!I51+a.4.Faget!I51+a.4.Buzias!I51</f>
        <v>428558.68</v>
      </c>
      <c r="I51" s="432">
        <f>a.4.Timisoara!J51+a.4.Loc.TM!J51+a.4.Deta!J51+a.4.Jimbolia!J51+a.4.Sannicolau!J51+a.4.Faget!J51+a.4.Buzias!J51</f>
        <v>64084.67</v>
      </c>
      <c r="J51" s="432">
        <f>a.4.Timisoara!K51+a.4.Loc.TM!K51+a.4.Deta!K51+a.4.Jimbolia!K51+a.4.Sannicolau!K51+a.4.Faget!K51+a.4.Buzias!K51</f>
        <v>104334.67</v>
      </c>
      <c r="K51" s="432">
        <f>a.4.Timisoara!L51+a.4.Loc.TM!L51+a.4.Deta!L51+a.4.Jimbolia!L51+a.4.Sannicolau!L51+a.4.Faget!L51+a.4.Buzias!L51</f>
        <v>154534.67000000001</v>
      </c>
      <c r="L51" s="432">
        <f>a.4.Timisoara!M51+a.4.Loc.TM!M51+a.4.Deta!M51+a.4.Jimbolia!M51+a.4.Sannicolau!M51+a.4.Faget!M51+a.4.Buzias!M51</f>
        <v>105604.67</v>
      </c>
      <c r="M51" s="405">
        <f>267100+2136+3223</f>
        <v>272459</v>
      </c>
      <c r="N51" s="405">
        <f>54738</f>
        <v>54738</v>
      </c>
      <c r="O51" s="405">
        <f t="shared" si="30"/>
        <v>327197</v>
      </c>
      <c r="P51" s="496">
        <v>428558.68</v>
      </c>
      <c r="Q51" s="114">
        <f t="shared" si="4"/>
        <v>0</v>
      </c>
    </row>
    <row r="52" spans="1:17" ht="13.5" thickBot="1" x14ac:dyDescent="0.25">
      <c r="A52" s="978"/>
      <c r="B52" s="1030"/>
      <c r="C52" s="256"/>
      <c r="D52" s="256"/>
      <c r="E52" s="256" t="s">
        <v>576</v>
      </c>
      <c r="F52" s="296">
        <v>608</v>
      </c>
      <c r="G52" s="84"/>
      <c r="H52" s="432">
        <f>a.4.Timisoara!I52+a.4.Loc.TM!I52+a.4.Deta!I52+a.4.Jimbolia!I52+a.4.Sannicolau!I52+a.4.Faget!I52+a.4.Buzias!I52</f>
        <v>7000</v>
      </c>
      <c r="I52" s="432">
        <f>a.4.Timisoara!J52+a.4.Loc.TM!J52+a.4.Deta!J52+a.4.Jimbolia!J52+a.4.Sannicolau!J52+a.4.Faget!J52+a.4.Buzias!J52</f>
        <v>2000</v>
      </c>
      <c r="J52" s="432">
        <f>a.4.Timisoara!K52+a.4.Loc.TM!K52+a.4.Deta!K52+a.4.Jimbolia!K52+a.4.Sannicolau!K52+a.4.Faget!K52+a.4.Buzias!K52</f>
        <v>1000</v>
      </c>
      <c r="K52" s="432">
        <f>a.4.Timisoara!L52+a.4.Loc.TM!L52+a.4.Deta!L52+a.4.Jimbolia!L52+a.4.Sannicolau!L52+a.4.Faget!L52+a.4.Buzias!L52</f>
        <v>1500</v>
      </c>
      <c r="L52" s="432">
        <f>a.4.Timisoara!M52+a.4.Loc.TM!M52+a.4.Deta!M52+a.4.Jimbolia!M52+a.4.Sannicolau!M52+a.4.Faget!M52+a.4.Buzias!M52</f>
        <v>2500</v>
      </c>
      <c r="M52" s="405"/>
      <c r="N52" s="405"/>
      <c r="O52" s="405">
        <f t="shared" si="30"/>
        <v>0</v>
      </c>
      <c r="P52" s="496">
        <v>7000</v>
      </c>
      <c r="Q52" s="114">
        <f t="shared" si="4"/>
        <v>0</v>
      </c>
    </row>
    <row r="53" spans="1:17" ht="13.5" thickBot="1" x14ac:dyDescent="0.25">
      <c r="A53" s="978"/>
      <c r="B53" s="1030"/>
      <c r="C53" s="297"/>
      <c r="D53" s="297"/>
      <c r="E53" s="297" t="s">
        <v>577</v>
      </c>
      <c r="F53" s="296">
        <v>609</v>
      </c>
      <c r="G53" s="84"/>
      <c r="H53" s="432">
        <f>a.4.Timisoara!I53+a.4.Loc.TM!I53+a.4.Deta!I53+a.4.Jimbolia!I53+a.4.Sannicolau!I53+a.4.Faget!I53+a.4.Buzias!I53</f>
        <v>0</v>
      </c>
      <c r="I53" s="432">
        <f>a.4.Timisoara!J53+a.4.Loc.TM!J53+a.4.Deta!J53+a.4.Jimbolia!J53+a.4.Sannicolau!J53+a.4.Faget!J53+a.4.Buzias!J53</f>
        <v>0</v>
      </c>
      <c r="J53" s="432">
        <f>a.4.Timisoara!K53+a.4.Loc.TM!K53+a.4.Deta!K53+a.4.Jimbolia!K53+a.4.Sannicolau!K53+a.4.Faget!K53+a.4.Buzias!K53</f>
        <v>0</v>
      </c>
      <c r="K53" s="432">
        <f>a.4.Timisoara!L53+a.4.Loc.TM!L53+a.4.Deta!L53+a.4.Jimbolia!L53+a.4.Sannicolau!L53+a.4.Faget!L53+a.4.Buzias!L53</f>
        <v>0</v>
      </c>
      <c r="L53" s="432">
        <f>a.4.Timisoara!M53+a.4.Loc.TM!M53+a.4.Deta!M53+a.4.Jimbolia!M53+a.4.Sannicolau!M53+a.4.Faget!M53+a.4.Buzias!M53</f>
        <v>0</v>
      </c>
      <c r="M53" s="405">
        <v>-82551</v>
      </c>
      <c r="N53" s="405">
        <v>-6736</v>
      </c>
      <c r="O53" s="405">
        <f t="shared" si="30"/>
        <v>-89287</v>
      </c>
      <c r="P53" s="496">
        <v>0</v>
      </c>
      <c r="Q53" s="114">
        <f t="shared" si="4"/>
        <v>0</v>
      </c>
    </row>
    <row r="54" spans="1:17" ht="16.5" customHeight="1" thickBot="1" x14ac:dyDescent="0.25">
      <c r="A54" s="978"/>
      <c r="B54" s="1030"/>
      <c r="C54" s="71"/>
      <c r="D54" s="71" t="s">
        <v>99</v>
      </c>
      <c r="E54" s="71" t="s">
        <v>269</v>
      </c>
      <c r="F54" s="86"/>
      <c r="G54" s="84">
        <f>G47+1</f>
        <v>36</v>
      </c>
      <c r="H54" s="432">
        <f>a.4.Timisoara!I54+a.4.Loc.TM!I54+a.4.Deta!I54+a.4.Jimbolia!I54+a.4.Sannicolau!I54+a.4.Faget!I54+a.4.Buzias!I54</f>
        <v>2711966.71</v>
      </c>
      <c r="I54" s="432">
        <f>a.4.Timisoara!J54+a.4.Loc.TM!J54+a.4.Deta!J54+a.4.Jimbolia!J54+a.4.Sannicolau!J54+a.4.Faget!J54+a.4.Buzias!J54</f>
        <v>612250.02</v>
      </c>
      <c r="J54" s="432">
        <f>a.4.Timisoara!K54+a.4.Loc.TM!K54+a.4.Deta!K54+a.4.Jimbolia!K54+a.4.Sannicolau!K54+a.4.Faget!K54+a.4.Buzias!K54</f>
        <v>721998.52</v>
      </c>
      <c r="K54" s="432">
        <f>a.4.Timisoara!L54+a.4.Loc.TM!L54+a.4.Deta!L54+a.4.Jimbolia!L54+a.4.Sannicolau!L54+a.4.Faget!L54+a.4.Buzias!L54</f>
        <v>737836.17</v>
      </c>
      <c r="L54" s="432">
        <f>a.4.Timisoara!M54+a.4.Loc.TM!M54+a.4.Deta!M54+a.4.Jimbolia!M54+a.4.Sannicolau!M54+a.4.Faget!M54+a.4.Buzias!M54</f>
        <v>639882</v>
      </c>
      <c r="M54" s="405">
        <f>SUM(M55:M56)</f>
        <v>1870444</v>
      </c>
      <c r="N54" s="405">
        <f>SUM(N55:N56)</f>
        <v>139995</v>
      </c>
      <c r="O54" s="405">
        <f t="shared" si="30"/>
        <v>2010439</v>
      </c>
      <c r="P54" s="496">
        <v>2711966.71</v>
      </c>
      <c r="Q54" s="114">
        <f t="shared" si="4"/>
        <v>0</v>
      </c>
    </row>
    <row r="55" spans="1:17" ht="16.5" customHeight="1" thickBot="1" x14ac:dyDescent="0.25">
      <c r="A55" s="978"/>
      <c r="B55" s="1030"/>
      <c r="C55" s="298"/>
      <c r="D55" s="300"/>
      <c r="E55" s="71" t="s">
        <v>578</v>
      </c>
      <c r="F55" s="296">
        <v>6022</v>
      </c>
      <c r="G55" s="84"/>
      <c r="H55" s="432">
        <f>a.4.Timisoara!I55+a.4.Loc.TM!I55+a.4.Deta!I55+a.4.Jimbolia!I55+a.4.Sannicolau!I55+a.4.Faget!I55+a.4.Buzias!I55</f>
        <v>301931.12</v>
      </c>
      <c r="I55" s="432">
        <f>a.4.Timisoara!J55+a.4.Loc.TM!J55+a.4.Deta!J55+a.4.Jimbolia!J55+a.4.Sannicolau!J55+a.4.Faget!J55+a.4.Buzias!J55</f>
        <v>67932.5</v>
      </c>
      <c r="J55" s="432">
        <f>a.4.Timisoara!K55+a.4.Loc.TM!K55+a.4.Deta!K55+a.4.Jimbolia!K55+a.4.Sannicolau!K55+a.4.Faget!K55+a.4.Buzias!K55</f>
        <v>68094.97</v>
      </c>
      <c r="K55" s="432">
        <f>a.4.Timisoara!L55+a.4.Loc.TM!L55+a.4.Deta!L55+a.4.Jimbolia!L55+a.4.Sannicolau!L55+a.4.Faget!L55+a.4.Buzias!L55</f>
        <v>82951.649999999994</v>
      </c>
      <c r="L55" s="432">
        <f>a.4.Timisoara!M55+a.4.Loc.TM!M55+a.4.Deta!M55+a.4.Jimbolia!M55+a.4.Sannicolau!M55+a.4.Faget!M55+a.4.Buzias!M55</f>
        <v>82952</v>
      </c>
      <c r="M55" s="405">
        <f>178636</f>
        <v>178636</v>
      </c>
      <c r="N55" s="405">
        <v>10871</v>
      </c>
      <c r="O55" s="405">
        <f t="shared" si="30"/>
        <v>189507</v>
      </c>
      <c r="P55" s="496">
        <v>301931.12</v>
      </c>
      <c r="Q55" s="114">
        <f t="shared" si="4"/>
        <v>0</v>
      </c>
    </row>
    <row r="56" spans="1:17" ht="16.5" customHeight="1" thickBot="1" x14ac:dyDescent="0.25">
      <c r="A56" s="978"/>
      <c r="B56" s="1030"/>
      <c r="C56" s="298"/>
      <c r="D56" s="300"/>
      <c r="E56" s="71" t="s">
        <v>579</v>
      </c>
      <c r="F56" s="296">
        <v>604</v>
      </c>
      <c r="G56" s="84"/>
      <c r="H56" s="432">
        <f>a.4.Timisoara!I56+a.4.Loc.TM!I56+a.4.Deta!I56+a.4.Jimbolia!I56+a.4.Sannicolau!I56+a.4.Faget!I56+a.4.Buzias!I56</f>
        <v>2409985.59</v>
      </c>
      <c r="I56" s="432">
        <f>a.4.Timisoara!J56+a.4.Loc.TM!J56+a.4.Deta!J56+a.4.Jimbolia!J56+a.4.Sannicolau!J56+a.4.Faget!J56+a.4.Buzias!J56</f>
        <v>544317.52</v>
      </c>
      <c r="J56" s="432">
        <f>a.4.Timisoara!K56+a.4.Loc.TM!K56+a.4.Deta!K56+a.4.Jimbolia!K56+a.4.Sannicolau!K56+a.4.Faget!K56+a.4.Buzias!K56</f>
        <v>653903.55000000005</v>
      </c>
      <c r="K56" s="432">
        <f>a.4.Timisoara!L56+a.4.Loc.TM!L56+a.4.Deta!L56+a.4.Jimbolia!L56+a.4.Sannicolau!L56+a.4.Faget!L56+a.4.Buzias!L56</f>
        <v>654884.52</v>
      </c>
      <c r="L56" s="432">
        <f>a.4.Timisoara!M56+a.4.Loc.TM!M56+a.4.Deta!M56+a.4.Jimbolia!M56+a.4.Sannicolau!M56+a.4.Faget!M56+a.4.Buzias!M56</f>
        <v>556880</v>
      </c>
      <c r="M56" s="405">
        <f>6122+53454+4758+1609090+18355+29</f>
        <v>1691808</v>
      </c>
      <c r="N56" s="405">
        <f>11786+2873+348+112311+1806</f>
        <v>129124</v>
      </c>
      <c r="O56" s="405">
        <f t="shared" si="30"/>
        <v>1820932</v>
      </c>
      <c r="P56" s="496">
        <v>2409985.59</v>
      </c>
      <c r="Q56" s="114">
        <f t="shared" si="4"/>
        <v>0</v>
      </c>
    </row>
    <row r="57" spans="1:17" ht="28.5" customHeight="1" thickBot="1" x14ac:dyDescent="0.25">
      <c r="A57" s="978"/>
      <c r="B57" s="1030"/>
      <c r="C57" s="71" t="s">
        <v>40</v>
      </c>
      <c r="D57" s="973" t="s">
        <v>343</v>
      </c>
      <c r="E57" s="974"/>
      <c r="F57" s="275">
        <v>603</v>
      </c>
      <c r="G57" s="84">
        <f>G54+1</f>
        <v>37</v>
      </c>
      <c r="H57" s="432">
        <f>a.4.Timisoara!I57+a.4.Loc.TM!I57+a.4.Deta!I57+a.4.Jimbolia!I57+a.4.Sannicolau!I57+a.4.Faget!I57+a.4.Buzias!I57</f>
        <v>1655291.01</v>
      </c>
      <c r="I57" s="432">
        <f>a.4.Timisoara!J57+a.4.Loc.TM!J57+a.4.Deta!J57+a.4.Jimbolia!J57+a.4.Sannicolau!J57+a.4.Faget!J57+a.4.Buzias!J57</f>
        <v>375022.67</v>
      </c>
      <c r="J57" s="432">
        <f>a.4.Timisoara!K57+a.4.Loc.TM!K57+a.4.Deta!K57+a.4.Jimbolia!K57+a.4.Sannicolau!K57+a.4.Faget!K57+a.4.Buzias!K57</f>
        <v>376122.67</v>
      </c>
      <c r="K57" s="432">
        <f>a.4.Timisoara!L57+a.4.Loc.TM!L57+a.4.Deta!L57+a.4.Jimbolia!L57+a.4.Sannicolau!L57+a.4.Faget!L57+a.4.Buzias!L57</f>
        <v>425822.67</v>
      </c>
      <c r="L57" s="432">
        <f>a.4.Timisoara!M57+a.4.Loc.TM!M57+a.4.Deta!M57+a.4.Jimbolia!M57+a.4.Sannicolau!M57+a.4.Faget!M57+a.4.Buzias!M57</f>
        <v>478323</v>
      </c>
      <c r="M57" s="405">
        <f>323073+824998+129023+11292</f>
        <v>1288386</v>
      </c>
      <c r="N57" s="405">
        <f>101507+92301+4226</f>
        <v>198034</v>
      </c>
      <c r="O57" s="405">
        <f t="shared" si="30"/>
        <v>1486420</v>
      </c>
      <c r="P57" s="496">
        <v>1655291.01</v>
      </c>
      <c r="Q57" s="114">
        <f t="shared" si="4"/>
        <v>0</v>
      </c>
    </row>
    <row r="58" spans="1:17" ht="13.5" thickBot="1" x14ac:dyDescent="0.25">
      <c r="A58" s="978"/>
      <c r="B58" s="1030"/>
      <c r="C58" s="71" t="s">
        <v>42</v>
      </c>
      <c r="D58" s="973" t="s">
        <v>271</v>
      </c>
      <c r="E58" s="974"/>
      <c r="F58" s="275">
        <v>605</v>
      </c>
      <c r="G58" s="84">
        <f t="shared" si="7"/>
        <v>38</v>
      </c>
      <c r="H58" s="432">
        <f>a.4.Timisoara!I58+a.4.Loc.TM!I58+a.4.Deta!I58+a.4.Jimbolia!I58+a.4.Sannicolau!I58+a.4.Faget!I58+a.4.Buzias!I58</f>
        <v>27258075.27</v>
      </c>
      <c r="I58" s="432">
        <f>a.4.Timisoara!J58+a.4.Loc.TM!J58+a.4.Deta!J58+a.4.Jimbolia!J58+a.4.Sannicolau!J58+a.4.Faget!J58+a.4.Buzias!J58</f>
        <v>6703530.3700000001</v>
      </c>
      <c r="J58" s="432">
        <f>a.4.Timisoara!K58+a.4.Loc.TM!K58+a.4.Deta!K58+a.4.Jimbolia!K58+a.4.Sannicolau!K58+a.4.Faget!K58+a.4.Buzias!K58</f>
        <v>6877694.2400000002</v>
      </c>
      <c r="K58" s="432">
        <f>a.4.Timisoara!L58+a.4.Loc.TM!L58+a.4.Deta!L58+a.4.Jimbolia!L58+a.4.Sannicolau!L58+a.4.Faget!L58+a.4.Buzias!L58</f>
        <v>7352559.6600000001</v>
      </c>
      <c r="L58" s="432">
        <f>a.4.Timisoara!M58+a.4.Loc.TM!M58+a.4.Deta!M58+a.4.Jimbolia!M58+a.4.Sannicolau!M58+a.4.Faget!M58+a.4.Buzias!M58</f>
        <v>6324291</v>
      </c>
      <c r="M58" s="405">
        <f>SUM(M59:M63)</f>
        <v>20648435</v>
      </c>
      <c r="N58" s="405">
        <f>SUM(N59:N63)</f>
        <v>2316725</v>
      </c>
      <c r="O58" s="405">
        <f t="shared" si="30"/>
        <v>22965160</v>
      </c>
      <c r="P58" s="496">
        <v>27258075.27</v>
      </c>
      <c r="Q58" s="114">
        <f t="shared" si="4"/>
        <v>0</v>
      </c>
    </row>
    <row r="59" spans="1:17" ht="13.5" thickBot="1" x14ac:dyDescent="0.25">
      <c r="A59" s="978"/>
      <c r="B59" s="1030"/>
      <c r="C59" s="295"/>
      <c r="D59" s="295"/>
      <c r="E59" s="256" t="s">
        <v>580</v>
      </c>
      <c r="F59" s="296" t="s">
        <v>581</v>
      </c>
      <c r="G59" s="84"/>
      <c r="H59" s="432">
        <f>a.4.Timisoara!I59+a.4.Loc.TM!I59+a.4.Deta!I59+a.4.Jimbolia!I59+a.4.Sannicolau!I59+a.4.Faget!I59+a.4.Buzias!I59</f>
        <v>5831185.8300000001</v>
      </c>
      <c r="I59" s="432">
        <f>a.4.Timisoara!J59+a.4.Loc.TM!J59+a.4.Deta!J59+a.4.Jimbolia!J59+a.4.Sannicolau!J59+a.4.Faget!J59+a.4.Buzias!J59</f>
        <v>1427034.47</v>
      </c>
      <c r="J59" s="432">
        <f>a.4.Timisoara!K59+a.4.Loc.TM!K59+a.4.Deta!K59+a.4.Jimbolia!K59+a.4.Sannicolau!K59+a.4.Faget!K59+a.4.Buzias!K59</f>
        <v>1384099.96</v>
      </c>
      <c r="K59" s="432">
        <f>a.4.Timisoara!L59+a.4.Loc.TM!L59+a.4.Deta!L59+a.4.Jimbolia!L59+a.4.Sannicolau!L59+a.4.Faget!L59+a.4.Buzias!L59</f>
        <v>1492005.4</v>
      </c>
      <c r="L59" s="432">
        <f>a.4.Timisoara!M59+a.4.Loc.TM!M59+a.4.Deta!M59+a.4.Jimbolia!M59+a.4.Sannicolau!M59+a.4.Faget!M59+a.4.Buzias!M59</f>
        <v>1528046</v>
      </c>
      <c r="M59" s="405">
        <v>3741655</v>
      </c>
      <c r="N59" s="405">
        <v>280572</v>
      </c>
      <c r="O59" s="405">
        <f t="shared" si="30"/>
        <v>4022227</v>
      </c>
      <c r="P59" s="496">
        <v>5831185.8300000001</v>
      </c>
      <c r="Q59" s="114">
        <f t="shared" si="4"/>
        <v>0</v>
      </c>
    </row>
    <row r="60" spans="1:17" ht="13.5" thickBot="1" x14ac:dyDescent="0.25">
      <c r="A60" s="978"/>
      <c r="B60" s="1030"/>
      <c r="C60" s="256"/>
      <c r="D60" s="256"/>
      <c r="E60" s="256" t="s">
        <v>582</v>
      </c>
      <c r="F60" s="296" t="s">
        <v>583</v>
      </c>
      <c r="G60" s="84"/>
      <c r="H60" s="432">
        <f>a.4.Timisoara!I60+a.4.Loc.TM!I60+a.4.Deta!I60+a.4.Jimbolia!I60+a.4.Sannicolau!I60+a.4.Faget!I60+a.4.Buzias!I60</f>
        <v>9634908.3399999999</v>
      </c>
      <c r="I60" s="432">
        <f>a.4.Timisoara!J60+a.4.Loc.TM!J60+a.4.Deta!J60+a.4.Jimbolia!J60+a.4.Sannicolau!J60+a.4.Faget!J60+a.4.Buzias!J60</f>
        <v>2020883.94</v>
      </c>
      <c r="J60" s="432">
        <f>a.4.Timisoara!K60+a.4.Loc.TM!K60+a.4.Deta!K60+a.4.Jimbolia!K60+a.4.Sannicolau!K60+a.4.Faget!K60+a.4.Buzias!K60</f>
        <v>2747894</v>
      </c>
      <c r="K60" s="432">
        <f>a.4.Timisoara!L60+a.4.Loc.TM!L60+a.4.Deta!L60+a.4.Jimbolia!L60+a.4.Sannicolau!L60+a.4.Faget!L60+a.4.Buzias!L60</f>
        <v>2885130.4</v>
      </c>
      <c r="L60" s="432">
        <f>a.4.Timisoara!M60+a.4.Loc.TM!M60+a.4.Deta!M60+a.4.Jimbolia!M60+a.4.Sannicolau!M60+a.4.Faget!M60+a.4.Buzias!M60</f>
        <v>1981000</v>
      </c>
      <c r="M60" s="405">
        <v>8406961</v>
      </c>
      <c r="N60" s="485">
        <v>1000000</v>
      </c>
      <c r="O60" s="405">
        <f t="shared" si="30"/>
        <v>9406961</v>
      </c>
      <c r="P60" s="496">
        <v>9634908.3399999999</v>
      </c>
      <c r="Q60" s="114">
        <f t="shared" si="4"/>
        <v>0</v>
      </c>
    </row>
    <row r="61" spans="1:17" ht="13.5" thickBot="1" x14ac:dyDescent="0.25">
      <c r="A61" s="978"/>
      <c r="B61" s="1030"/>
      <c r="C61" s="256"/>
      <c r="D61" s="256"/>
      <c r="E61" s="295" t="s">
        <v>584</v>
      </c>
      <c r="F61" s="296" t="s">
        <v>585</v>
      </c>
      <c r="G61" s="84"/>
      <c r="H61" s="432">
        <f>a.4.Timisoara!I61+a.4.Loc.TM!I61+a.4.Deta!I61+a.4.Jimbolia!I61+a.4.Sannicolau!I61+a.4.Faget!I61+a.4.Buzias!I61</f>
        <v>10767415.1</v>
      </c>
      <c r="I61" s="432">
        <f>a.4.Timisoara!J61+a.4.Loc.TM!J61+a.4.Deta!J61+a.4.Jimbolia!J61+a.4.Sannicolau!J61+a.4.Faget!J61+a.4.Buzias!J61</f>
        <v>2948082.96</v>
      </c>
      <c r="J61" s="432">
        <f>a.4.Timisoara!K61+a.4.Loc.TM!K61+a.4.Deta!K61+a.4.Jimbolia!K61+a.4.Sannicolau!K61+a.4.Faget!K61+a.4.Buzias!K61</f>
        <v>2490921.2799999998</v>
      </c>
      <c r="K61" s="432">
        <f>a.4.Timisoara!L61+a.4.Loc.TM!L61+a.4.Deta!L61+a.4.Jimbolia!L61+a.4.Sannicolau!L61+a.4.Faget!L61+a.4.Buzias!L61</f>
        <v>2820644.86</v>
      </c>
      <c r="L61" s="432">
        <f>a.4.Timisoara!M61+a.4.Loc.TM!M61+a.4.Deta!M61+a.4.Jimbolia!M61+a.4.Sannicolau!M61+a.4.Faget!M61+a.4.Buzias!M61</f>
        <v>2507766</v>
      </c>
      <c r="M61" s="405">
        <v>7814280</v>
      </c>
      <c r="N61" s="485">
        <v>850000</v>
      </c>
      <c r="O61" s="405">
        <f t="shared" si="30"/>
        <v>8664280</v>
      </c>
      <c r="P61" s="496">
        <v>10767415.1</v>
      </c>
      <c r="Q61" s="114">
        <f t="shared" si="4"/>
        <v>0</v>
      </c>
    </row>
    <row r="62" spans="1:17" ht="13.5" thickBot="1" x14ac:dyDescent="0.25">
      <c r="A62" s="978"/>
      <c r="B62" s="1030"/>
      <c r="C62" s="256"/>
      <c r="D62" s="256"/>
      <c r="E62" s="256" t="s">
        <v>586</v>
      </c>
      <c r="F62" s="296" t="s">
        <v>587</v>
      </c>
      <c r="G62" s="84"/>
      <c r="H62" s="432">
        <f>a.4.Timisoara!I62+a.4.Loc.TM!I62+a.4.Deta!I62+a.4.Jimbolia!I62+a.4.Sannicolau!I62+a.4.Faget!I62+a.4.Buzias!I62</f>
        <v>1015116</v>
      </c>
      <c r="I62" s="432">
        <f>a.4.Timisoara!J62+a.4.Loc.TM!J62+a.4.Deta!J62+a.4.Jimbolia!J62+a.4.Sannicolau!J62+a.4.Faget!J62+a.4.Buzias!J62</f>
        <v>303779</v>
      </c>
      <c r="J62" s="432">
        <f>a.4.Timisoara!K62+a.4.Loc.TM!K62+a.4.Deta!K62+a.4.Jimbolia!K62+a.4.Sannicolau!K62+a.4.Faget!K62+a.4.Buzias!K62</f>
        <v>253779</v>
      </c>
      <c r="K62" s="432">
        <f>a.4.Timisoara!L62+a.4.Loc.TM!L62+a.4.Deta!L62+a.4.Jimbolia!L62+a.4.Sannicolau!L62+a.4.Faget!L62+a.4.Buzias!L62</f>
        <v>153779</v>
      </c>
      <c r="L62" s="432">
        <f>a.4.Timisoara!M62+a.4.Loc.TM!M62+a.4.Deta!M62+a.4.Jimbolia!M62+a.4.Sannicolau!M62+a.4.Faget!M62+a.4.Buzias!M62</f>
        <v>303779</v>
      </c>
      <c r="M62" s="405">
        <v>679184</v>
      </c>
      <c r="N62" s="405">
        <v>184367</v>
      </c>
      <c r="O62" s="405">
        <f t="shared" si="30"/>
        <v>863551</v>
      </c>
      <c r="P62" s="496">
        <v>1015116</v>
      </c>
      <c r="Q62" s="114">
        <f t="shared" si="4"/>
        <v>0</v>
      </c>
    </row>
    <row r="63" spans="1:17" ht="13.5" thickBot="1" x14ac:dyDescent="0.25">
      <c r="A63" s="978"/>
      <c r="B63" s="1030"/>
      <c r="C63" s="297"/>
      <c r="D63" s="297"/>
      <c r="E63" s="297" t="s">
        <v>588</v>
      </c>
      <c r="F63" s="296" t="s">
        <v>589</v>
      </c>
      <c r="G63" s="84"/>
      <c r="H63" s="432">
        <f>a.4.Timisoara!I63+a.4.Loc.TM!I63+a.4.Deta!I63+a.4.Jimbolia!I63+a.4.Sannicolau!I63+a.4.Faget!I63+a.4.Buzias!I63</f>
        <v>9450</v>
      </c>
      <c r="I63" s="432">
        <f>a.4.Timisoara!J63+a.4.Loc.TM!J63+a.4.Deta!J63+a.4.Jimbolia!J63+a.4.Sannicolau!J63+a.4.Faget!J63+a.4.Buzias!J63</f>
        <v>3750</v>
      </c>
      <c r="J63" s="432">
        <f>a.4.Timisoara!K63+a.4.Loc.TM!K63+a.4.Deta!K63+a.4.Jimbolia!K63+a.4.Sannicolau!K63+a.4.Faget!K63+a.4.Buzias!K63</f>
        <v>1000</v>
      </c>
      <c r="K63" s="432">
        <f>a.4.Timisoara!L63+a.4.Loc.TM!L63+a.4.Deta!L63+a.4.Jimbolia!L63+a.4.Sannicolau!L63+a.4.Faget!L63+a.4.Buzias!L63</f>
        <v>1000</v>
      </c>
      <c r="L63" s="432">
        <f>a.4.Timisoara!M63+a.4.Loc.TM!M63+a.4.Deta!M63+a.4.Jimbolia!M63+a.4.Sannicolau!M63+a.4.Faget!M63+a.4.Buzias!M63</f>
        <v>3700</v>
      </c>
      <c r="M63" s="405">
        <v>6355</v>
      </c>
      <c r="N63" s="405">
        <v>1786</v>
      </c>
      <c r="O63" s="405">
        <f t="shared" si="30"/>
        <v>8141</v>
      </c>
      <c r="P63" s="496">
        <v>9450</v>
      </c>
      <c r="Q63" s="114">
        <f t="shared" si="4"/>
        <v>0</v>
      </c>
    </row>
    <row r="64" spans="1:17" ht="13.5" thickBot="1" x14ac:dyDescent="0.25">
      <c r="A64" s="978"/>
      <c r="B64" s="1030"/>
      <c r="C64" s="71" t="s">
        <v>28</v>
      </c>
      <c r="D64" s="973" t="s">
        <v>272</v>
      </c>
      <c r="E64" s="974"/>
      <c r="F64" s="275"/>
      <c r="G64" s="84">
        <f>G58+1</f>
        <v>39</v>
      </c>
      <c r="H64" s="432">
        <f>a.4.Timisoara!I64+a.4.Loc.TM!I64+a.4.Deta!I64+a.4.Jimbolia!I64+a.4.Sannicolau!I64+a.4.Faget!I64+a.4.Buzias!I64</f>
        <v>0</v>
      </c>
      <c r="I64" s="432">
        <f>a.4.Timisoara!J64+a.4.Loc.TM!J64+a.4.Deta!J64+a.4.Jimbolia!J64+a.4.Sannicolau!J64+a.4.Faget!J64+a.4.Buzias!J64</f>
        <v>0</v>
      </c>
      <c r="J64" s="432">
        <f>a.4.Timisoara!K64+a.4.Loc.TM!K64+a.4.Deta!K64+a.4.Jimbolia!K64+a.4.Sannicolau!K64+a.4.Faget!K64+a.4.Buzias!K64</f>
        <v>0</v>
      </c>
      <c r="K64" s="432">
        <f>a.4.Timisoara!L64+a.4.Loc.TM!L64+a.4.Deta!L64+a.4.Jimbolia!L64+a.4.Sannicolau!L64+a.4.Faget!L64+a.4.Buzias!L64</f>
        <v>0</v>
      </c>
      <c r="L64" s="432">
        <f>a.4.Timisoara!M64+a.4.Loc.TM!M64+a.4.Deta!M64+a.4.Jimbolia!M64+a.4.Sannicolau!M64+a.4.Faget!M64+a.4.Buzias!M64</f>
        <v>0</v>
      </c>
      <c r="M64" s="405"/>
      <c r="N64" s="405"/>
      <c r="O64" s="405">
        <f t="shared" si="30"/>
        <v>0</v>
      </c>
      <c r="P64" s="496">
        <v>0</v>
      </c>
      <c r="Q64" s="114">
        <f t="shared" si="4"/>
        <v>0</v>
      </c>
    </row>
    <row r="65" spans="1:17" ht="23.25" customHeight="1" thickBot="1" x14ac:dyDescent="0.25">
      <c r="A65" s="978"/>
      <c r="B65" s="1030"/>
      <c r="C65" s="294" t="s">
        <v>273</v>
      </c>
      <c r="D65" s="986" t="s">
        <v>465</v>
      </c>
      <c r="E65" s="988"/>
      <c r="F65" s="276"/>
      <c r="G65" s="97">
        <f t="shared" si="7"/>
        <v>40</v>
      </c>
      <c r="H65" s="426">
        <f>a.4.Timisoara!I65+a.4.Loc.TM!I65+a.4.Deta!I65+a.4.Jimbolia!I65+a.4.Sannicolau!I65+a.4.Faget!I65+a.4.Buzias!I65</f>
        <v>8114574.5999999996</v>
      </c>
      <c r="I65" s="426">
        <f>a.4.Timisoara!J65+a.4.Loc.TM!J65+a.4.Deta!J65+a.4.Jimbolia!J65+a.4.Sannicolau!J65+a.4.Faget!J65+a.4.Buzias!J65</f>
        <v>1613166.37</v>
      </c>
      <c r="J65" s="426">
        <f>a.4.Timisoara!K65+a.4.Loc.TM!K65+a.4.Deta!K65+a.4.Jimbolia!K65+a.4.Sannicolau!K65+a.4.Faget!K65+a.4.Buzias!K65</f>
        <v>2249414.7999999998</v>
      </c>
      <c r="K65" s="426">
        <f>a.4.Timisoara!L65+a.4.Loc.TM!L65+a.4.Deta!L65+a.4.Jimbolia!L65+a.4.Sannicolau!L65+a.4.Faget!L65+a.4.Buzias!L65</f>
        <v>2211973</v>
      </c>
      <c r="L65" s="426">
        <f>a.4.Timisoara!M65+a.4.Loc.TM!M65+a.4.Deta!M65+a.4.Jimbolia!M65+a.4.Sannicolau!M65+a.4.Faget!M65+a.4.Buzias!M65</f>
        <v>2039170.43</v>
      </c>
      <c r="M65" s="426">
        <f t="shared" ref="M65:O65" si="31">M66+M70+M74</f>
        <v>3938953</v>
      </c>
      <c r="N65" s="426">
        <f t="shared" ref="N65" si="32">N66+N70+N74</f>
        <v>539560</v>
      </c>
      <c r="O65" s="426">
        <f t="shared" si="31"/>
        <v>4478513</v>
      </c>
      <c r="P65" s="427">
        <v>8114574.5999999996</v>
      </c>
      <c r="Q65" s="114">
        <f t="shared" si="4"/>
        <v>0</v>
      </c>
    </row>
    <row r="66" spans="1:17" ht="13.5" thickBot="1" x14ac:dyDescent="0.25">
      <c r="A66" s="978"/>
      <c r="B66" s="1030"/>
      <c r="C66" s="71" t="s">
        <v>27</v>
      </c>
      <c r="D66" s="973" t="s">
        <v>274</v>
      </c>
      <c r="E66" s="974"/>
      <c r="F66" s="275">
        <v>611</v>
      </c>
      <c r="G66" s="84">
        <f t="shared" si="7"/>
        <v>41</v>
      </c>
      <c r="H66" s="432">
        <f>a.4.Timisoara!I66+a.4.Loc.TM!I66+a.4.Deta!I66+a.4.Jimbolia!I66+a.4.Sannicolau!I66+a.4.Faget!I66+a.4.Buzias!I66</f>
        <v>7024961.8799999999</v>
      </c>
      <c r="I66" s="432">
        <f>a.4.Timisoara!J66+a.4.Loc.TM!J66+a.4.Deta!J66+a.4.Jimbolia!J66+a.4.Sannicolau!J66+a.4.Faget!J66+a.4.Buzias!J66</f>
        <v>1402015.96</v>
      </c>
      <c r="J66" s="432">
        <f>a.4.Timisoara!K66+a.4.Loc.TM!K66+a.4.Deta!K66+a.4.Jimbolia!K66+a.4.Sannicolau!K66+a.4.Faget!K66+a.4.Buzias!K66</f>
        <v>1985423.96</v>
      </c>
      <c r="K66" s="432">
        <f>a.4.Timisoara!L66+a.4.Loc.TM!L66+a.4.Deta!L66+a.4.Jimbolia!L66+a.4.Sannicolau!L66+a.4.Faget!L66+a.4.Buzias!L66</f>
        <v>1936473.96</v>
      </c>
      <c r="L66" s="432">
        <f>a.4.Timisoara!M66+a.4.Loc.TM!M66+a.4.Deta!M66+a.4.Jimbolia!M66+a.4.Sannicolau!M66+a.4.Faget!M66+a.4.Buzias!M66</f>
        <v>1701048</v>
      </c>
      <c r="M66" s="405">
        <f>SUM(M67:M69)</f>
        <v>3344422</v>
      </c>
      <c r="N66" s="405">
        <f>SUM(N67:N69)</f>
        <v>493544</v>
      </c>
      <c r="O66" s="405">
        <f>SUM(O67:O69)</f>
        <v>3837966</v>
      </c>
      <c r="P66" s="496">
        <v>7024961.8799999999</v>
      </c>
      <c r="Q66" s="114">
        <f t="shared" si="4"/>
        <v>0</v>
      </c>
    </row>
    <row r="67" spans="1:17" ht="13.5" thickBot="1" x14ac:dyDescent="0.25">
      <c r="A67" s="978"/>
      <c r="B67" s="1030"/>
      <c r="C67" s="71"/>
      <c r="D67" s="278"/>
      <c r="E67" s="279" t="s">
        <v>590</v>
      </c>
      <c r="F67" s="296" t="s">
        <v>591</v>
      </c>
      <c r="G67" s="84"/>
      <c r="H67" s="432">
        <f>a.4.Timisoara!I67+a.4.Loc.TM!I67+a.4.Deta!I67+a.4.Jimbolia!I67+a.4.Sannicolau!I67+a.4.Faget!I67+a.4.Buzias!I67</f>
        <v>4422961.88</v>
      </c>
      <c r="I67" s="432">
        <f>a.4.Timisoara!J67+a.4.Loc.TM!J67+a.4.Deta!J67+a.4.Jimbolia!J67+a.4.Sannicolau!J67+a.4.Faget!J67+a.4.Buzias!J67</f>
        <v>825015.96</v>
      </c>
      <c r="J67" s="432">
        <f>a.4.Timisoara!K67+a.4.Loc.TM!K67+a.4.Deta!K67+a.4.Jimbolia!K67+a.4.Sannicolau!K67+a.4.Faget!K67+a.4.Buzias!K67</f>
        <v>1328123.96</v>
      </c>
      <c r="K67" s="432">
        <f>a.4.Timisoara!L67+a.4.Loc.TM!L67+a.4.Deta!L67+a.4.Jimbolia!L67+a.4.Sannicolau!L67+a.4.Faget!L67+a.4.Buzias!L67</f>
        <v>1228623.96</v>
      </c>
      <c r="L67" s="432">
        <f>a.4.Timisoara!M67+a.4.Loc.TM!M67+a.4.Deta!M67+a.4.Jimbolia!M67+a.4.Sannicolau!M67+a.4.Faget!M67+a.4.Buzias!M67</f>
        <v>1041198</v>
      </c>
      <c r="M67" s="405">
        <f>1895986+77684</f>
        <v>1973670</v>
      </c>
      <c r="N67" s="405">
        <f>279805+3588</f>
        <v>283393</v>
      </c>
      <c r="O67" s="405">
        <f>SUM(M67:N67)</f>
        <v>2257063</v>
      </c>
      <c r="P67" s="496">
        <v>4422961.88</v>
      </c>
      <c r="Q67" s="114">
        <f t="shared" si="4"/>
        <v>0</v>
      </c>
    </row>
    <row r="68" spans="1:17" ht="13.5" thickBot="1" x14ac:dyDescent="0.25">
      <c r="A68" s="978"/>
      <c r="B68" s="1030"/>
      <c r="C68" s="71"/>
      <c r="D68" s="278"/>
      <c r="E68" s="279" t="s">
        <v>592</v>
      </c>
      <c r="F68" s="296">
        <v>611.01</v>
      </c>
      <c r="G68" s="84"/>
      <c r="H68" s="432">
        <f>a.4.Timisoara!I68+a.4.Loc.TM!I68+a.4.Deta!I68+a.4.Jimbolia!I68+a.4.Sannicolau!I68+a.4.Faget!I68+a.4.Buzias!I68</f>
        <v>2200000</v>
      </c>
      <c r="I68" s="432">
        <f>a.4.Timisoara!J68+a.4.Loc.TM!J68+a.4.Deta!J68+a.4.Jimbolia!J68+a.4.Sannicolau!J68+a.4.Faget!J68+a.4.Buzias!J68</f>
        <v>500000</v>
      </c>
      <c r="J68" s="432">
        <f>a.4.Timisoara!K68+a.4.Loc.TM!K68+a.4.Deta!K68+a.4.Jimbolia!K68+a.4.Sannicolau!K68+a.4.Faget!K68+a.4.Buzias!K68</f>
        <v>550000</v>
      </c>
      <c r="K68" s="432">
        <f>a.4.Timisoara!L68+a.4.Loc.TM!L68+a.4.Deta!L68+a.4.Jimbolia!L68+a.4.Sannicolau!L68+a.4.Faget!L68+a.4.Buzias!L68</f>
        <v>600000</v>
      </c>
      <c r="L68" s="432">
        <f>a.4.Timisoara!M68+a.4.Loc.TM!M68+a.4.Deta!M68+a.4.Jimbolia!M68+a.4.Sannicolau!M68+a.4.Faget!M68+a.4.Buzias!M68</f>
        <v>550000</v>
      </c>
      <c r="M68" s="405">
        <v>1263450</v>
      </c>
      <c r="N68" s="405">
        <v>202809</v>
      </c>
      <c r="O68" s="405">
        <f t="shared" ref="O68:O69" si="33">SUM(M68:N68)</f>
        <v>1466259</v>
      </c>
      <c r="P68" s="496">
        <v>2200000</v>
      </c>
      <c r="Q68" s="114">
        <f t="shared" si="4"/>
        <v>0</v>
      </c>
    </row>
    <row r="69" spans="1:17" ht="13.5" thickBot="1" x14ac:dyDescent="0.25">
      <c r="A69" s="978"/>
      <c r="B69" s="1030"/>
      <c r="C69" s="71"/>
      <c r="D69" s="278"/>
      <c r="E69" s="279" t="s">
        <v>593</v>
      </c>
      <c r="F69" s="296" t="s">
        <v>594</v>
      </c>
      <c r="G69" s="84"/>
      <c r="H69" s="432">
        <f>a.4.Timisoara!I69+a.4.Loc.TM!I69+a.4.Deta!I69+a.4.Jimbolia!I69+a.4.Sannicolau!I69+a.4.Faget!I69+a.4.Buzias!I69</f>
        <v>370000</v>
      </c>
      <c r="I69" s="432">
        <f>a.4.Timisoara!J69+a.4.Loc.TM!J69+a.4.Deta!J69+a.4.Jimbolia!J69+a.4.Sannicolau!J69+a.4.Faget!J69+a.4.Buzias!J69</f>
        <v>70000</v>
      </c>
      <c r="J69" s="432">
        <f>a.4.Timisoara!K69+a.4.Loc.TM!K69+a.4.Deta!K69+a.4.Jimbolia!K69+a.4.Sannicolau!K69+a.4.Faget!K69+a.4.Buzias!K69</f>
        <v>100000</v>
      </c>
      <c r="K69" s="432">
        <f>a.4.Timisoara!L69+a.4.Loc.TM!L69+a.4.Deta!L69+a.4.Jimbolia!L69+a.4.Sannicolau!L69+a.4.Faget!L69+a.4.Buzias!L69</f>
        <v>100000</v>
      </c>
      <c r="L69" s="432">
        <f>a.4.Timisoara!M69+a.4.Loc.TM!M69+a.4.Deta!M69+a.4.Jimbolia!M69+a.4.Sannicolau!M69+a.4.Faget!M69+a.4.Buzias!M69</f>
        <v>100000</v>
      </c>
      <c r="M69" s="405">
        <v>107302</v>
      </c>
      <c r="N69" s="405">
        <v>7342</v>
      </c>
      <c r="O69" s="405">
        <f t="shared" si="33"/>
        <v>114644</v>
      </c>
      <c r="P69" s="496">
        <v>370000</v>
      </c>
      <c r="Q69" s="114">
        <f t="shared" si="4"/>
        <v>0</v>
      </c>
    </row>
    <row r="70" spans="1:17" ht="13.5" thickBot="1" x14ac:dyDescent="0.25">
      <c r="A70" s="979"/>
      <c r="B70" s="1031"/>
      <c r="C70" s="71" t="s">
        <v>38</v>
      </c>
      <c r="D70" s="973" t="s">
        <v>275</v>
      </c>
      <c r="E70" s="974"/>
      <c r="F70" s="275">
        <v>612</v>
      </c>
      <c r="G70" s="84">
        <f>G66+1</f>
        <v>42</v>
      </c>
      <c r="H70" s="432">
        <f>a.4.Timisoara!I70+a.4.Loc.TM!I70+a.4.Deta!I70+a.4.Jimbolia!I70+a.4.Sannicolau!I70+a.4.Faget!I70+a.4.Buzias!I70</f>
        <v>711893.43</v>
      </c>
      <c r="I70" s="432">
        <f>a.4.Timisoara!J70+a.4.Loc.TM!J70+a.4.Deta!J70+a.4.Jimbolia!J70+a.4.Sannicolau!J70+a.4.Faget!J70+a.4.Buzias!J70</f>
        <v>126852</v>
      </c>
      <c r="J70" s="432">
        <f>a.4.Timisoara!K70+a.4.Loc.TM!K70+a.4.Deta!K70+a.4.Jimbolia!K70+a.4.Sannicolau!K70+a.4.Faget!K70+a.4.Buzias!K70</f>
        <v>178342</v>
      </c>
      <c r="K70" s="432">
        <f>a.4.Timisoara!L70+a.4.Loc.TM!L70+a.4.Deta!L70+a.4.Jimbolia!L70+a.4.Sannicolau!L70+a.4.Faget!L70+a.4.Buzias!L70</f>
        <v>178350</v>
      </c>
      <c r="L70" s="432">
        <f>a.4.Timisoara!M70+a.4.Loc.TM!M70+a.4.Deta!M70+a.4.Jimbolia!M70+a.4.Sannicolau!M70+a.4.Faget!M70+a.4.Buzias!M70</f>
        <v>228349.43</v>
      </c>
      <c r="M70" s="405">
        <f>M71+M73</f>
        <v>414555</v>
      </c>
      <c r="N70" s="405">
        <f>N71+N73</f>
        <v>17317</v>
      </c>
      <c r="O70" s="405">
        <f>O71+O73</f>
        <v>431872</v>
      </c>
      <c r="P70" s="496">
        <v>711893.43</v>
      </c>
      <c r="Q70" s="114">
        <f t="shared" si="4"/>
        <v>0</v>
      </c>
    </row>
    <row r="71" spans="1:17" ht="23.25" thickBot="1" x14ac:dyDescent="0.25">
      <c r="A71" s="977"/>
      <c r="B71" s="1018"/>
      <c r="C71" s="71"/>
      <c r="D71" s="71" t="s">
        <v>76</v>
      </c>
      <c r="E71" s="71" t="s">
        <v>157</v>
      </c>
      <c r="F71" s="86"/>
      <c r="G71" s="84">
        <f t="shared" si="7"/>
        <v>43</v>
      </c>
      <c r="H71" s="432">
        <f>a.4.Timisoara!I71+a.4.Loc.TM!I71+a.4.Deta!I71+a.4.Jimbolia!I71+a.4.Sannicolau!I71+a.4.Faget!I71+a.4.Buzias!I71</f>
        <v>99913.43</v>
      </c>
      <c r="I71" s="432">
        <f>a.4.Timisoara!J71+a.4.Loc.TM!J71+a.4.Deta!J71+a.4.Jimbolia!J71+a.4.Sannicolau!J71+a.4.Faget!J71+a.4.Buzias!J71</f>
        <v>24982</v>
      </c>
      <c r="J71" s="432">
        <f>a.4.Timisoara!K71+a.4.Loc.TM!K71+a.4.Deta!K71+a.4.Jimbolia!K71+a.4.Sannicolau!K71+a.4.Faget!K71+a.4.Buzias!K71</f>
        <v>24972</v>
      </c>
      <c r="K71" s="432">
        <f>a.4.Timisoara!L71+a.4.Loc.TM!L71+a.4.Deta!L71+a.4.Jimbolia!L71+a.4.Sannicolau!L71+a.4.Faget!L71+a.4.Buzias!L71</f>
        <v>24980</v>
      </c>
      <c r="L71" s="432">
        <f>a.4.Timisoara!M71+a.4.Loc.TM!M71+a.4.Deta!M71+a.4.Jimbolia!M71+a.4.Sannicolau!M71+a.4.Faget!M71+a.4.Buzias!M71</f>
        <v>24979.43</v>
      </c>
      <c r="M71" s="405">
        <v>14784</v>
      </c>
      <c r="N71" s="405">
        <v>1100</v>
      </c>
      <c r="O71" s="405">
        <f>SUM(M71:N71)</f>
        <v>15884</v>
      </c>
      <c r="P71" s="496">
        <v>99913.43</v>
      </c>
      <c r="Q71" s="114">
        <f t="shared" si="4"/>
        <v>0</v>
      </c>
    </row>
    <row r="72" spans="1:17" ht="13.5" thickBot="1" x14ac:dyDescent="0.25">
      <c r="A72" s="978"/>
      <c r="B72" s="1019"/>
      <c r="C72" s="71"/>
      <c r="D72" s="71"/>
      <c r="E72" s="86" t="s">
        <v>595</v>
      </c>
      <c r="F72" s="286" t="s">
        <v>596</v>
      </c>
      <c r="G72" s="84"/>
      <c r="H72" s="432">
        <f>a.4.Timisoara!I72+a.4.Loc.TM!I72+a.4.Deta!I72+a.4.Jimbolia!I72+a.4.Sannicolau!I72+a.4.Faget!I72+a.4.Buzias!I72</f>
        <v>80000</v>
      </c>
      <c r="I72" s="432">
        <f>a.4.Timisoara!J72+a.4.Loc.TM!J72+a.4.Deta!J72+a.4.Jimbolia!J72+a.4.Sannicolau!J72+a.4.Faget!J72+a.4.Buzias!J72</f>
        <v>20000</v>
      </c>
      <c r="J72" s="432">
        <f>a.4.Timisoara!K72+a.4.Loc.TM!K72+a.4.Deta!K72+a.4.Jimbolia!K72+a.4.Sannicolau!K72+a.4.Faget!K72+a.4.Buzias!K72</f>
        <v>20000</v>
      </c>
      <c r="K72" s="432">
        <f>a.4.Timisoara!L72+a.4.Loc.TM!L72+a.4.Deta!L72+a.4.Jimbolia!L72+a.4.Sannicolau!L72+a.4.Faget!L72+a.4.Buzias!L72</f>
        <v>20000</v>
      </c>
      <c r="L72" s="432">
        <f>a.4.Timisoara!M72+a.4.Loc.TM!M72+a.4.Deta!M72+a.4.Jimbolia!M72+a.4.Sannicolau!M72+a.4.Faget!M72+a.4.Buzias!M72</f>
        <v>20000</v>
      </c>
      <c r="M72" s="405"/>
      <c r="N72" s="405"/>
      <c r="O72" s="405">
        <f t="shared" ref="O72:O74" si="34">SUM(M72:N72)</f>
        <v>0</v>
      </c>
      <c r="P72" s="496">
        <v>80000</v>
      </c>
      <c r="Q72" s="114">
        <f t="shared" si="4"/>
        <v>0</v>
      </c>
    </row>
    <row r="73" spans="1:17" ht="13.5" thickBot="1" x14ac:dyDescent="0.25">
      <c r="A73" s="978"/>
      <c r="B73" s="1019"/>
      <c r="C73" s="71"/>
      <c r="D73" s="71" t="s">
        <v>99</v>
      </c>
      <c r="E73" s="71" t="s">
        <v>158</v>
      </c>
      <c r="F73" s="86">
        <v>612</v>
      </c>
      <c r="G73" s="84">
        <f>G71+1</f>
        <v>44</v>
      </c>
      <c r="H73" s="432">
        <f>a.4.Timisoara!I73+a.4.Loc.TM!I73+a.4.Deta!I73+a.4.Jimbolia!I73+a.4.Sannicolau!I73+a.4.Faget!I73+a.4.Buzias!I73</f>
        <v>605480</v>
      </c>
      <c r="I73" s="432">
        <f>a.4.Timisoara!J73+a.4.Loc.TM!J73+a.4.Deta!J73+a.4.Jimbolia!J73+a.4.Sannicolau!J73+a.4.Faget!J73+a.4.Buzias!J73</f>
        <v>101370</v>
      </c>
      <c r="J73" s="432">
        <f>a.4.Timisoara!K73+a.4.Loc.TM!K73+a.4.Deta!K73+a.4.Jimbolia!K73+a.4.Sannicolau!K73+a.4.Faget!K73+a.4.Buzias!K73</f>
        <v>151370</v>
      </c>
      <c r="K73" s="432">
        <f>a.4.Timisoara!L73+a.4.Loc.TM!L73+a.4.Deta!L73+a.4.Jimbolia!L73+a.4.Sannicolau!L73+a.4.Faget!L73+a.4.Buzias!L73</f>
        <v>151370</v>
      </c>
      <c r="L73" s="432">
        <f>a.4.Timisoara!M73+a.4.Loc.TM!M73+a.4.Deta!M73+a.4.Jimbolia!M73+a.4.Sannicolau!M73+a.4.Faget!M73+a.4.Buzias!M73</f>
        <v>201370</v>
      </c>
      <c r="M73" s="405">
        <f>391378+8393</f>
        <v>399771</v>
      </c>
      <c r="N73" s="405">
        <v>16217</v>
      </c>
      <c r="O73" s="405">
        <f t="shared" si="34"/>
        <v>415988</v>
      </c>
      <c r="P73" s="496">
        <v>605480</v>
      </c>
      <c r="Q73" s="114">
        <f t="shared" si="4"/>
        <v>0</v>
      </c>
    </row>
    <row r="74" spans="1:17" ht="13.5" thickBot="1" x14ac:dyDescent="0.25">
      <c r="A74" s="978"/>
      <c r="B74" s="1019"/>
      <c r="C74" s="71" t="s">
        <v>40</v>
      </c>
      <c r="D74" s="973" t="s">
        <v>159</v>
      </c>
      <c r="E74" s="974"/>
      <c r="F74" s="301" t="s">
        <v>597</v>
      </c>
      <c r="G74" s="84">
        <f t="shared" si="7"/>
        <v>45</v>
      </c>
      <c r="H74" s="432">
        <f>a.4.Timisoara!I74+a.4.Loc.TM!I74+a.4.Deta!I74+a.4.Jimbolia!I74+a.4.Sannicolau!I74+a.4.Faget!I74+a.4.Buzias!I74</f>
        <v>305781.40999999997</v>
      </c>
      <c r="I74" s="432">
        <f>a.4.Timisoara!J74+a.4.Loc.TM!J74+a.4.Deta!J74+a.4.Jimbolia!J74+a.4.Sannicolau!J74+a.4.Faget!J74+a.4.Buzias!J74</f>
        <v>71432.45</v>
      </c>
      <c r="J74" s="432">
        <f>a.4.Timisoara!K74+a.4.Loc.TM!K74+a.4.Deta!K74+a.4.Jimbolia!K74+a.4.Sannicolau!K74+a.4.Faget!K74+a.4.Buzias!K74</f>
        <v>71432.88</v>
      </c>
      <c r="K74" s="432">
        <f>a.4.Timisoara!L74+a.4.Loc.TM!L74+a.4.Deta!L74+a.4.Jimbolia!L74+a.4.Sannicolau!L74+a.4.Faget!L74+a.4.Buzias!L74</f>
        <v>81433.08</v>
      </c>
      <c r="L74" s="432">
        <f>a.4.Timisoara!M74+a.4.Loc.TM!M74+a.4.Deta!M74+a.4.Jimbolia!M74+a.4.Sannicolau!M74+a.4.Faget!M74+a.4.Buzias!M74</f>
        <v>81483</v>
      </c>
      <c r="M74" s="405">
        <f>163948+10102+5926</f>
        <v>179976</v>
      </c>
      <c r="N74" s="405">
        <f>27191+918+590</f>
        <v>28699</v>
      </c>
      <c r="O74" s="405">
        <f t="shared" si="34"/>
        <v>208675</v>
      </c>
      <c r="P74" s="496">
        <v>305781.40999999997</v>
      </c>
      <c r="Q74" s="114">
        <f t="shared" si="4"/>
        <v>0</v>
      </c>
    </row>
    <row r="75" spans="1:17" ht="33.75" customHeight="1" thickBot="1" x14ac:dyDescent="0.25">
      <c r="A75" s="978"/>
      <c r="B75" s="1019"/>
      <c r="C75" s="294" t="s">
        <v>160</v>
      </c>
      <c r="D75" s="986" t="s">
        <v>466</v>
      </c>
      <c r="E75" s="988"/>
      <c r="F75" s="276"/>
      <c r="G75" s="97">
        <f t="shared" si="7"/>
        <v>46</v>
      </c>
      <c r="H75" s="426">
        <f>a.4.Timisoara!I75+a.4.Loc.TM!I75+a.4.Deta!I75+a.4.Jimbolia!I75+a.4.Sannicolau!I75+a.4.Faget!I75+a.4.Buzias!I75</f>
        <v>8876004.5999999996</v>
      </c>
      <c r="I75" s="426">
        <f>a.4.Timisoara!J75+a.4.Loc.TM!J75+a.4.Deta!J75+a.4.Jimbolia!J75+a.4.Sannicolau!J75+a.4.Faget!J75+a.4.Buzias!J75</f>
        <v>1800348.4</v>
      </c>
      <c r="J75" s="426">
        <f>a.4.Timisoara!K75+a.4.Loc.TM!K75+a.4.Deta!K75+a.4.Jimbolia!K75+a.4.Sannicolau!K75+a.4.Faget!K75+a.4.Buzias!K75</f>
        <v>2032496.2</v>
      </c>
      <c r="K75" s="426">
        <f>a.4.Timisoara!L75+a.4.Loc.TM!L75+a.4.Deta!L75+a.4.Jimbolia!L75+a.4.Sannicolau!L75+a.4.Faget!L75+a.4.Buzias!L75</f>
        <v>2523718.33</v>
      </c>
      <c r="L75" s="426">
        <f>a.4.Timisoara!M75+a.4.Loc.TM!M75+a.4.Deta!M75+a.4.Jimbolia!M75+a.4.Sannicolau!M75+a.4.Faget!M75+a.4.Buzias!M75</f>
        <v>2519441.67</v>
      </c>
      <c r="M75" s="426">
        <f t="shared" ref="M75:O75" si="35">M76+M77+M79+M86+M91+M95+M99+M100+M101+M110</f>
        <v>5739309</v>
      </c>
      <c r="N75" s="426">
        <f t="shared" ref="N75" si="36">N76+N77+N79+N86+N91+N95+N99+N100+N101+N110</f>
        <v>645807</v>
      </c>
      <c r="O75" s="426">
        <f t="shared" si="35"/>
        <v>6757553</v>
      </c>
      <c r="P75" s="427">
        <v>8561004.5999999996</v>
      </c>
      <c r="Q75" s="732">
        <f t="shared" ref="Q75:Q138" si="37">H75-P75</f>
        <v>315000</v>
      </c>
    </row>
    <row r="76" spans="1:17" ht="13.5" thickBot="1" x14ac:dyDescent="0.25">
      <c r="A76" s="978"/>
      <c r="B76" s="1019"/>
      <c r="C76" s="71" t="s">
        <v>27</v>
      </c>
      <c r="D76" s="1021" t="s">
        <v>161</v>
      </c>
      <c r="E76" s="1022"/>
      <c r="F76" s="302">
        <v>621</v>
      </c>
      <c r="G76" s="84">
        <f t="shared" si="7"/>
        <v>47</v>
      </c>
      <c r="H76" s="432">
        <f>a.4.Timisoara!I76+a.4.Loc.TM!I76+a.4.Deta!I76+a.4.Jimbolia!I76+a.4.Sannicolau!I76+a.4.Faget!I76+a.4.Buzias!I76</f>
        <v>12000</v>
      </c>
      <c r="I76" s="432">
        <f>a.4.Timisoara!J76+a.4.Loc.TM!J76+a.4.Deta!J76+a.4.Jimbolia!J76+a.4.Sannicolau!J76+a.4.Faget!J76+a.4.Buzias!J76</f>
        <v>3000</v>
      </c>
      <c r="J76" s="432">
        <f>a.4.Timisoara!K76+a.4.Loc.TM!K76+a.4.Deta!K76+a.4.Jimbolia!K76+a.4.Sannicolau!K76+a.4.Faget!K76+a.4.Buzias!K76</f>
        <v>3000</v>
      </c>
      <c r="K76" s="432">
        <f>a.4.Timisoara!L76+a.4.Loc.TM!L76+a.4.Deta!L76+a.4.Jimbolia!L76+a.4.Sannicolau!L76+a.4.Faget!L76+a.4.Buzias!L76</f>
        <v>3000</v>
      </c>
      <c r="L76" s="432">
        <f>a.4.Timisoara!M76+a.4.Loc.TM!M76+a.4.Deta!M76+a.4.Jimbolia!M76+a.4.Sannicolau!M76+a.4.Faget!M76+a.4.Buzias!M76</f>
        <v>3000</v>
      </c>
      <c r="M76" s="430">
        <v>4586</v>
      </c>
      <c r="N76" s="430">
        <v>0</v>
      </c>
      <c r="O76" s="430">
        <f>SUM(M76:N76)</f>
        <v>4586</v>
      </c>
      <c r="P76" s="496">
        <v>12000</v>
      </c>
      <c r="Q76" s="114">
        <f t="shared" si="37"/>
        <v>0</v>
      </c>
    </row>
    <row r="77" spans="1:17" ht="13.5" thickBot="1" x14ac:dyDescent="0.25">
      <c r="A77" s="978"/>
      <c r="B77" s="1019"/>
      <c r="C77" s="71" t="s">
        <v>38</v>
      </c>
      <c r="D77" s="1021" t="s">
        <v>162</v>
      </c>
      <c r="E77" s="1022"/>
      <c r="F77" s="302">
        <v>622</v>
      </c>
      <c r="G77" s="84">
        <f t="shared" ref="G77:G140" si="38">G76+1</f>
        <v>48</v>
      </c>
      <c r="H77" s="432">
        <f>a.4.Timisoara!I77+a.4.Loc.TM!I77+a.4.Deta!I77+a.4.Jimbolia!I77+a.4.Sannicolau!I77+a.4.Faget!I77+a.4.Buzias!I77</f>
        <v>28000</v>
      </c>
      <c r="I77" s="432">
        <f>a.4.Timisoara!J77+a.4.Loc.TM!J77+a.4.Deta!J77+a.4.Jimbolia!J77+a.4.Sannicolau!J77+a.4.Faget!J77+a.4.Buzias!J77</f>
        <v>7000</v>
      </c>
      <c r="J77" s="432">
        <f>a.4.Timisoara!K77+a.4.Loc.TM!K77+a.4.Deta!K77+a.4.Jimbolia!K77+a.4.Sannicolau!K77+a.4.Faget!K77+a.4.Buzias!K77</f>
        <v>7000</v>
      </c>
      <c r="K77" s="432">
        <f>a.4.Timisoara!L77+a.4.Loc.TM!L77+a.4.Deta!L77+a.4.Jimbolia!L77+a.4.Sannicolau!L77+a.4.Faget!L77+a.4.Buzias!L77</f>
        <v>7000</v>
      </c>
      <c r="L77" s="432">
        <f>a.4.Timisoara!M77+a.4.Loc.TM!M77+a.4.Deta!M77+a.4.Jimbolia!M77+a.4.Sannicolau!M77+a.4.Faget!M77+a.4.Buzias!M77</f>
        <v>7000</v>
      </c>
      <c r="M77" s="430">
        <v>16910</v>
      </c>
      <c r="N77" s="430">
        <v>2550</v>
      </c>
      <c r="O77" s="430">
        <f t="shared" ref="O77:O78" si="39">SUM(M77:N77)</f>
        <v>19460</v>
      </c>
      <c r="P77" s="496">
        <v>28000</v>
      </c>
      <c r="Q77" s="114">
        <f t="shared" si="37"/>
        <v>0</v>
      </c>
    </row>
    <row r="78" spans="1:17" ht="13.5" thickBot="1" x14ac:dyDescent="0.25">
      <c r="A78" s="978"/>
      <c r="B78" s="1019"/>
      <c r="C78" s="71"/>
      <c r="D78" s="1021" t="s">
        <v>381</v>
      </c>
      <c r="E78" s="1022"/>
      <c r="F78" s="302"/>
      <c r="G78" s="84">
        <f t="shared" si="38"/>
        <v>49</v>
      </c>
      <c r="H78" s="432">
        <f>a.4.Timisoara!I78+a.4.Loc.TM!I78+a.4.Deta!I78+a.4.Jimbolia!I78+a.4.Sannicolau!I78+a.4.Faget!I78+a.4.Buzias!I78</f>
        <v>8000</v>
      </c>
      <c r="I78" s="432">
        <f>a.4.Timisoara!J78+a.4.Loc.TM!J78+a.4.Deta!J78+a.4.Jimbolia!J78+a.4.Sannicolau!J78+a.4.Faget!J78+a.4.Buzias!J78</f>
        <v>2000</v>
      </c>
      <c r="J78" s="432">
        <f>a.4.Timisoara!K78+a.4.Loc.TM!K78+a.4.Deta!K78+a.4.Jimbolia!K78+a.4.Sannicolau!K78+a.4.Faget!K78+a.4.Buzias!K78</f>
        <v>2000</v>
      </c>
      <c r="K78" s="432">
        <f>a.4.Timisoara!L78+a.4.Loc.TM!L78+a.4.Deta!L78+a.4.Jimbolia!L78+a.4.Sannicolau!L78+a.4.Faget!L78+a.4.Buzias!L78</f>
        <v>2000</v>
      </c>
      <c r="L78" s="432">
        <f>a.4.Timisoara!M78+a.4.Loc.TM!M78+a.4.Deta!M78+a.4.Jimbolia!M78+a.4.Sannicolau!M78+a.4.Faget!M78+a.4.Buzias!M78</f>
        <v>2000</v>
      </c>
      <c r="M78" s="430"/>
      <c r="N78" s="430"/>
      <c r="O78" s="430">
        <f t="shared" si="39"/>
        <v>0</v>
      </c>
      <c r="P78" s="496">
        <v>8000</v>
      </c>
      <c r="Q78" s="114">
        <f t="shared" si="37"/>
        <v>0</v>
      </c>
    </row>
    <row r="79" spans="1:17" ht="22.5" customHeight="1" thickBot="1" x14ac:dyDescent="0.25">
      <c r="A79" s="978"/>
      <c r="B79" s="1019"/>
      <c r="C79" s="71" t="s">
        <v>40</v>
      </c>
      <c r="D79" s="973" t="s">
        <v>432</v>
      </c>
      <c r="E79" s="974"/>
      <c r="F79" s="275"/>
      <c r="G79" s="84">
        <f t="shared" si="38"/>
        <v>50</v>
      </c>
      <c r="H79" s="432">
        <f>a.4.Timisoara!I79+a.4.Loc.TM!I79+a.4.Deta!I79+a.4.Jimbolia!I79+a.4.Sannicolau!I79+a.4.Faget!I79+a.4.Buzias!I79</f>
        <v>465000</v>
      </c>
      <c r="I79" s="432">
        <f>a.4.Timisoara!J79+a.4.Loc.TM!J79+a.4.Deta!J79+a.4.Jimbolia!J79+a.4.Sannicolau!J79+a.4.Faget!J79+a.4.Buzias!J79</f>
        <v>80000</v>
      </c>
      <c r="J79" s="432">
        <f>a.4.Timisoara!K79+a.4.Loc.TM!K79+a.4.Deta!K79+a.4.Jimbolia!K79+a.4.Sannicolau!K79+a.4.Faget!K79+a.4.Buzias!K79</f>
        <v>100000</v>
      </c>
      <c r="K79" s="432">
        <f>a.4.Timisoara!L79+a.4.Loc.TM!L79+a.4.Deta!L79+a.4.Jimbolia!L79+a.4.Sannicolau!L79+a.4.Faget!L79+a.4.Buzias!L79</f>
        <v>105000</v>
      </c>
      <c r="L79" s="432">
        <f>a.4.Timisoara!M79+a.4.Loc.TM!M79+a.4.Deta!M79+a.4.Jimbolia!M79+a.4.Sannicolau!M79+a.4.Faget!M79+a.4.Buzias!M79</f>
        <v>180000</v>
      </c>
      <c r="M79" s="405">
        <f t="shared" ref="M79:O79" si="40">M80+M82</f>
        <v>301186</v>
      </c>
      <c r="N79" s="405">
        <f t="shared" ref="N79" si="41">N80+N82</f>
        <v>82158</v>
      </c>
      <c r="O79" s="405">
        <f t="shared" si="40"/>
        <v>383344</v>
      </c>
      <c r="P79" s="496">
        <v>465000</v>
      </c>
      <c r="Q79" s="114">
        <f t="shared" si="37"/>
        <v>0</v>
      </c>
    </row>
    <row r="80" spans="1:17" ht="29.25" customHeight="1" thickBot="1" x14ac:dyDescent="0.25">
      <c r="A80" s="978"/>
      <c r="B80" s="1019"/>
      <c r="C80" s="71"/>
      <c r="D80" s="71" t="s">
        <v>278</v>
      </c>
      <c r="E80" s="71" t="s">
        <v>163</v>
      </c>
      <c r="F80" s="86" t="s">
        <v>598</v>
      </c>
      <c r="G80" s="84">
        <f t="shared" si="38"/>
        <v>51</v>
      </c>
      <c r="H80" s="432">
        <f>a.4.Timisoara!I80+a.4.Loc.TM!I80+a.4.Deta!I80+a.4.Jimbolia!I80+a.4.Sannicolau!I80+a.4.Faget!I80+a.4.Buzias!I80</f>
        <v>155000</v>
      </c>
      <c r="I80" s="432">
        <f>a.4.Timisoara!J80+a.4.Loc.TM!J80+a.4.Deta!J80+a.4.Jimbolia!J80+a.4.Sannicolau!J80+a.4.Faget!J80+a.4.Buzias!J80</f>
        <v>30000</v>
      </c>
      <c r="J80" s="432">
        <f>a.4.Timisoara!K80+a.4.Loc.TM!K80+a.4.Deta!K80+a.4.Jimbolia!K80+a.4.Sannicolau!K80+a.4.Faget!K80+a.4.Buzias!K80</f>
        <v>40000</v>
      </c>
      <c r="K80" s="432">
        <f>a.4.Timisoara!L80+a.4.Loc.TM!L80+a.4.Deta!L80+a.4.Jimbolia!L80+a.4.Sannicolau!L80+a.4.Faget!L80+a.4.Buzias!L80</f>
        <v>35000</v>
      </c>
      <c r="L80" s="432">
        <f>a.4.Timisoara!M80+a.4.Loc.TM!M80+a.4.Deta!M80+a.4.Jimbolia!M80+a.4.Sannicolau!M80+a.4.Faget!M80+a.4.Buzias!M80</f>
        <v>50000</v>
      </c>
      <c r="M80" s="405">
        <f>14027+47028</f>
        <v>61055</v>
      </c>
      <c r="N80" s="405">
        <f>8198+3836+12734</f>
        <v>24768</v>
      </c>
      <c r="O80" s="405">
        <f>SUM(M80:N80)</f>
        <v>85823</v>
      </c>
      <c r="P80" s="496">
        <v>155000</v>
      </c>
      <c r="Q80" s="114">
        <f t="shared" si="37"/>
        <v>0</v>
      </c>
    </row>
    <row r="81" spans="1:17" ht="34.5" customHeight="1" thickBot="1" x14ac:dyDescent="0.25">
      <c r="A81" s="978"/>
      <c r="B81" s="1019"/>
      <c r="C81" s="71"/>
      <c r="D81" s="71"/>
      <c r="E81" s="71" t="s">
        <v>164</v>
      </c>
      <c r="F81" s="86"/>
      <c r="G81" s="84">
        <f t="shared" si="38"/>
        <v>52</v>
      </c>
      <c r="H81" s="432">
        <f>a.4.Timisoara!I81+a.4.Loc.TM!I81+a.4.Deta!I81+a.4.Jimbolia!I81+a.4.Sannicolau!I81+a.4.Faget!I81+a.4.Buzias!I81</f>
        <v>0</v>
      </c>
      <c r="I81" s="432">
        <f>a.4.Timisoara!J81+a.4.Loc.TM!J81+a.4.Deta!J81+a.4.Jimbolia!J81+a.4.Sannicolau!J81+a.4.Faget!J81+a.4.Buzias!J81</f>
        <v>0</v>
      </c>
      <c r="J81" s="432">
        <f>a.4.Timisoara!K81+a.4.Loc.TM!K81+a.4.Deta!K81+a.4.Jimbolia!K81+a.4.Sannicolau!K81+a.4.Faget!K81+a.4.Buzias!K81</f>
        <v>0</v>
      </c>
      <c r="K81" s="432">
        <f>a.4.Timisoara!L81+a.4.Loc.TM!L81+a.4.Deta!L81+a.4.Jimbolia!L81+a.4.Sannicolau!L81+a.4.Faget!L81+a.4.Buzias!L81</f>
        <v>0</v>
      </c>
      <c r="L81" s="432">
        <f>a.4.Timisoara!M81+a.4.Loc.TM!M81+a.4.Deta!M81+a.4.Jimbolia!M81+a.4.Sannicolau!M81+a.4.Faget!M81+a.4.Buzias!M81</f>
        <v>0</v>
      </c>
      <c r="M81" s="405"/>
      <c r="N81" s="405"/>
      <c r="O81" s="405">
        <f t="shared" ref="O81:O85" si="42">SUM(M81:N81)</f>
        <v>0</v>
      </c>
      <c r="P81" s="496">
        <v>0</v>
      </c>
      <c r="Q81" s="114">
        <f t="shared" si="37"/>
        <v>0</v>
      </c>
    </row>
    <row r="82" spans="1:17" ht="34.5" customHeight="1" thickBot="1" x14ac:dyDescent="0.25">
      <c r="A82" s="978"/>
      <c r="B82" s="1019"/>
      <c r="C82" s="71"/>
      <c r="D82" s="71" t="s">
        <v>165</v>
      </c>
      <c r="E82" s="71" t="s">
        <v>166</v>
      </c>
      <c r="F82" s="86" t="s">
        <v>599</v>
      </c>
      <c r="G82" s="84">
        <f t="shared" si="38"/>
        <v>53</v>
      </c>
      <c r="H82" s="432">
        <f>a.4.Timisoara!I82+a.4.Loc.TM!I82+a.4.Deta!I82+a.4.Jimbolia!I82+a.4.Sannicolau!I82+a.4.Faget!I82+a.4.Buzias!I82</f>
        <v>310000</v>
      </c>
      <c r="I82" s="432">
        <f>a.4.Timisoara!J82+a.4.Loc.TM!J82+a.4.Deta!J82+a.4.Jimbolia!J82+a.4.Sannicolau!J82+a.4.Faget!J82+a.4.Buzias!J82</f>
        <v>50000</v>
      </c>
      <c r="J82" s="432">
        <f>a.4.Timisoara!K82+a.4.Loc.TM!K82+a.4.Deta!K82+a.4.Jimbolia!K82+a.4.Sannicolau!K82+a.4.Faget!K82+a.4.Buzias!K82</f>
        <v>60000</v>
      </c>
      <c r="K82" s="432">
        <f>a.4.Timisoara!L82+a.4.Loc.TM!L82+a.4.Deta!L82+a.4.Jimbolia!L82+a.4.Sannicolau!L82+a.4.Faget!L82+a.4.Buzias!L82</f>
        <v>70000</v>
      </c>
      <c r="L82" s="432">
        <f>a.4.Timisoara!M82+a.4.Loc.TM!M82+a.4.Deta!M82+a.4.Jimbolia!M82+a.4.Sannicolau!M82+a.4.Faget!M82+a.4.Buzias!M82</f>
        <v>130000</v>
      </c>
      <c r="M82" s="405">
        <f>92451+3193+144487</f>
        <v>240131</v>
      </c>
      <c r="N82" s="405">
        <f>11582+45808</f>
        <v>57390</v>
      </c>
      <c r="O82" s="405">
        <f t="shared" si="42"/>
        <v>297521</v>
      </c>
      <c r="P82" s="496">
        <v>310000</v>
      </c>
      <c r="Q82" s="114">
        <f t="shared" si="37"/>
        <v>0</v>
      </c>
    </row>
    <row r="83" spans="1:17" ht="34.5" customHeight="1" thickBot="1" x14ac:dyDescent="0.25">
      <c r="A83" s="978"/>
      <c r="B83" s="1019"/>
      <c r="C83" s="71"/>
      <c r="D83" s="71"/>
      <c r="E83" s="71" t="s">
        <v>167</v>
      </c>
      <c r="F83" s="86" t="s">
        <v>22</v>
      </c>
      <c r="G83" s="84">
        <f t="shared" si="38"/>
        <v>54</v>
      </c>
      <c r="H83" s="432">
        <f>a.4.Timisoara!I83+a.4.Loc.TM!I83+a.4.Deta!I83+a.4.Jimbolia!I83+a.4.Sannicolau!I83+a.4.Faget!I83+a.4.Buzias!I83</f>
        <v>0</v>
      </c>
      <c r="I83" s="432">
        <f>a.4.Timisoara!J83+a.4.Loc.TM!J83+a.4.Deta!J83+a.4.Jimbolia!J83+a.4.Sannicolau!J83+a.4.Faget!J83+a.4.Buzias!J83</f>
        <v>0</v>
      </c>
      <c r="J83" s="432">
        <f>a.4.Timisoara!K83+a.4.Loc.TM!K83+a.4.Deta!K83+a.4.Jimbolia!K83+a.4.Sannicolau!K83+a.4.Faget!K83+a.4.Buzias!K83</f>
        <v>0</v>
      </c>
      <c r="K83" s="432">
        <f>a.4.Timisoara!L83+a.4.Loc.TM!L83+a.4.Deta!L83+a.4.Jimbolia!L83+a.4.Sannicolau!L83+a.4.Faget!L83+a.4.Buzias!L83</f>
        <v>0</v>
      </c>
      <c r="L83" s="432">
        <f>a.4.Timisoara!M83+a.4.Loc.TM!M83+a.4.Deta!M83+a.4.Jimbolia!M83+a.4.Sannicolau!M83+a.4.Faget!M83+a.4.Buzias!M83</f>
        <v>0</v>
      </c>
      <c r="M83" s="405"/>
      <c r="N83" s="405"/>
      <c r="O83" s="405">
        <f t="shared" si="42"/>
        <v>0</v>
      </c>
      <c r="P83" s="496">
        <v>0</v>
      </c>
      <c r="Q83" s="114">
        <f t="shared" si="37"/>
        <v>0</v>
      </c>
    </row>
    <row r="84" spans="1:17" ht="45.75" customHeight="1" thickBot="1" x14ac:dyDescent="0.25">
      <c r="A84" s="978"/>
      <c r="B84" s="1019"/>
      <c r="C84" s="71"/>
      <c r="D84" s="71"/>
      <c r="E84" s="71" t="s">
        <v>168</v>
      </c>
      <c r="F84" s="86" t="s">
        <v>22</v>
      </c>
      <c r="G84" s="84">
        <f t="shared" si="38"/>
        <v>55</v>
      </c>
      <c r="H84" s="432">
        <f>a.4.Timisoara!I84+a.4.Loc.TM!I84+a.4.Deta!I84+a.4.Jimbolia!I84+a.4.Sannicolau!I84+a.4.Faget!I84+a.4.Buzias!I84</f>
        <v>0</v>
      </c>
      <c r="I84" s="432">
        <f>a.4.Timisoara!J84+a.4.Loc.TM!J84+a.4.Deta!J84+a.4.Jimbolia!J84+a.4.Sannicolau!J84+a.4.Faget!J84+a.4.Buzias!J84</f>
        <v>0</v>
      </c>
      <c r="J84" s="432">
        <f>a.4.Timisoara!K84+a.4.Loc.TM!K84+a.4.Deta!K84+a.4.Jimbolia!K84+a.4.Sannicolau!K84+a.4.Faget!K84+a.4.Buzias!K84</f>
        <v>0</v>
      </c>
      <c r="K84" s="432">
        <f>a.4.Timisoara!L84+a.4.Loc.TM!L84+a.4.Deta!L84+a.4.Jimbolia!L84+a.4.Sannicolau!L84+a.4.Faget!L84+a.4.Buzias!L84</f>
        <v>0</v>
      </c>
      <c r="L84" s="432">
        <f>a.4.Timisoara!M84+a.4.Loc.TM!M84+a.4.Deta!M84+a.4.Jimbolia!M84+a.4.Sannicolau!M84+a.4.Faget!M84+a.4.Buzias!M84</f>
        <v>0</v>
      </c>
      <c r="M84" s="405"/>
      <c r="N84" s="405"/>
      <c r="O84" s="405">
        <f t="shared" si="42"/>
        <v>0</v>
      </c>
      <c r="P84" s="496">
        <v>0</v>
      </c>
      <c r="Q84" s="114">
        <f t="shared" si="37"/>
        <v>0</v>
      </c>
    </row>
    <row r="85" spans="1:17" ht="45.75" customHeight="1" thickBot="1" x14ac:dyDescent="0.25">
      <c r="A85" s="978"/>
      <c r="B85" s="1019"/>
      <c r="C85" s="71"/>
      <c r="D85" s="71"/>
      <c r="E85" s="71" t="s">
        <v>169</v>
      </c>
      <c r="F85" s="86" t="s">
        <v>22</v>
      </c>
      <c r="G85" s="84">
        <f t="shared" si="38"/>
        <v>56</v>
      </c>
      <c r="H85" s="432">
        <f>a.4.Timisoara!I85+a.4.Loc.TM!I85+a.4.Deta!I85+a.4.Jimbolia!I85+a.4.Sannicolau!I85+a.4.Faget!I85+a.4.Buzias!I85</f>
        <v>0</v>
      </c>
      <c r="I85" s="432">
        <f>a.4.Timisoara!J85+a.4.Loc.TM!J85+a.4.Deta!J85+a.4.Jimbolia!J85+a.4.Sannicolau!J85+a.4.Faget!J85+a.4.Buzias!J85</f>
        <v>0</v>
      </c>
      <c r="J85" s="432">
        <f>a.4.Timisoara!K85+a.4.Loc.TM!K85+a.4.Deta!K85+a.4.Jimbolia!K85+a.4.Sannicolau!K85+a.4.Faget!K85+a.4.Buzias!K85</f>
        <v>0</v>
      </c>
      <c r="K85" s="432">
        <f>a.4.Timisoara!L85+a.4.Loc.TM!L85+a.4.Deta!L85+a.4.Jimbolia!L85+a.4.Sannicolau!L85+a.4.Faget!L85+a.4.Buzias!L85</f>
        <v>0</v>
      </c>
      <c r="L85" s="432">
        <f>a.4.Timisoara!M85+a.4.Loc.TM!M85+a.4.Deta!M85+a.4.Jimbolia!M85+a.4.Sannicolau!M85+a.4.Faget!M85+a.4.Buzias!M85</f>
        <v>0</v>
      </c>
      <c r="M85" s="405"/>
      <c r="N85" s="405"/>
      <c r="O85" s="405">
        <f t="shared" si="42"/>
        <v>0</v>
      </c>
      <c r="P85" s="496">
        <v>0</v>
      </c>
      <c r="Q85" s="114">
        <f t="shared" si="37"/>
        <v>0</v>
      </c>
    </row>
    <row r="86" spans="1:17" ht="20.25" customHeight="1" thickBot="1" x14ac:dyDescent="0.25">
      <c r="A86" s="978"/>
      <c r="B86" s="1019"/>
      <c r="C86" s="71" t="s">
        <v>42</v>
      </c>
      <c r="D86" s="973" t="s">
        <v>433</v>
      </c>
      <c r="E86" s="974"/>
      <c r="F86" s="275">
        <v>6582</v>
      </c>
      <c r="G86" s="84">
        <f t="shared" si="38"/>
        <v>57</v>
      </c>
      <c r="H86" s="432">
        <f>a.4.Timisoara!I86+a.4.Loc.TM!I86+a.4.Deta!I86+a.4.Jimbolia!I86+a.4.Sannicolau!I86+a.4.Faget!I86+a.4.Buzias!I86</f>
        <v>375000</v>
      </c>
      <c r="I86" s="432">
        <f>a.4.Timisoara!J86+a.4.Loc.TM!J86+a.4.Deta!J86+a.4.Jimbolia!J86+a.4.Sannicolau!J86+a.4.Faget!J86+a.4.Buzias!J86</f>
        <v>85000</v>
      </c>
      <c r="J86" s="432">
        <f>a.4.Timisoara!K86+a.4.Loc.TM!K86+a.4.Deta!K86+a.4.Jimbolia!K86+a.4.Sannicolau!K86+a.4.Faget!K86+a.4.Buzias!K86</f>
        <v>93000</v>
      </c>
      <c r="K86" s="432">
        <f>a.4.Timisoara!L86+a.4.Loc.TM!L86+a.4.Deta!L86+a.4.Jimbolia!L86+a.4.Sannicolau!L86+a.4.Faget!L86+a.4.Buzias!L86</f>
        <v>103000</v>
      </c>
      <c r="L86" s="432">
        <f>a.4.Timisoara!M86+a.4.Loc.TM!M86+a.4.Deta!M86+a.4.Jimbolia!M86+a.4.Sannicolau!M86+a.4.Faget!M86+a.4.Buzias!M86</f>
        <v>94000</v>
      </c>
      <c r="M86" s="405">
        <f>M87+M88+M89+M90</f>
        <v>179998</v>
      </c>
      <c r="N86" s="405">
        <f>N87+N88+N89+N90</f>
        <v>27900</v>
      </c>
      <c r="O86" s="405">
        <f>O87+O88+O89+O90</f>
        <v>207898</v>
      </c>
      <c r="P86" s="496">
        <v>375000</v>
      </c>
      <c r="Q86" s="114">
        <f t="shared" si="37"/>
        <v>0</v>
      </c>
    </row>
    <row r="87" spans="1:17" ht="20.25" customHeight="1" thickBot="1" x14ac:dyDescent="0.25">
      <c r="A87" s="978"/>
      <c r="B87" s="1019"/>
      <c r="C87" s="71"/>
      <c r="D87" s="102" t="s">
        <v>170</v>
      </c>
      <c r="E87" s="102" t="s">
        <v>236</v>
      </c>
      <c r="F87" s="290" t="s">
        <v>600</v>
      </c>
      <c r="G87" s="84">
        <f t="shared" si="38"/>
        <v>58</v>
      </c>
      <c r="H87" s="432">
        <f>a.4.Timisoara!I87+a.4.Loc.TM!I87+a.4.Deta!I87+a.4.Jimbolia!I87+a.4.Sannicolau!I87+a.4.Faget!I87+a.4.Buzias!I87</f>
        <v>200000</v>
      </c>
      <c r="I87" s="432">
        <f>a.4.Timisoara!J87+a.4.Loc.TM!J87+a.4.Deta!J87+a.4.Jimbolia!J87+a.4.Sannicolau!J87+a.4.Faget!J87+a.4.Buzias!J87</f>
        <v>50000</v>
      </c>
      <c r="J87" s="432">
        <f>a.4.Timisoara!K87+a.4.Loc.TM!K87+a.4.Deta!K87+a.4.Jimbolia!K87+a.4.Sannicolau!K87+a.4.Faget!K87+a.4.Buzias!K87</f>
        <v>50000</v>
      </c>
      <c r="K87" s="432">
        <f>a.4.Timisoara!L87+a.4.Loc.TM!L87+a.4.Deta!L87+a.4.Jimbolia!L87+a.4.Sannicolau!L87+a.4.Faget!L87+a.4.Buzias!L87</f>
        <v>50000</v>
      </c>
      <c r="L87" s="432">
        <f>a.4.Timisoara!M87+a.4.Loc.TM!M87+a.4.Deta!M87+a.4.Jimbolia!M87+a.4.Sannicolau!M87+a.4.Faget!M87+a.4.Buzias!M87</f>
        <v>50000</v>
      </c>
      <c r="M87" s="430">
        <v>92800</v>
      </c>
      <c r="N87" s="430">
        <v>10000</v>
      </c>
      <c r="O87" s="430">
        <f>SUM(M87:N87)</f>
        <v>102800</v>
      </c>
      <c r="P87" s="496">
        <v>200000</v>
      </c>
      <c r="Q87" s="114">
        <f t="shared" si="37"/>
        <v>0</v>
      </c>
    </row>
    <row r="88" spans="1:17" ht="20.25" customHeight="1" thickBot="1" x14ac:dyDescent="0.25">
      <c r="A88" s="978"/>
      <c r="B88" s="1019"/>
      <c r="C88" s="71"/>
      <c r="D88" s="102" t="s">
        <v>171</v>
      </c>
      <c r="E88" s="102" t="s">
        <v>382</v>
      </c>
      <c r="F88" s="290" t="s">
        <v>601</v>
      </c>
      <c r="G88" s="84">
        <f t="shared" si="38"/>
        <v>59</v>
      </c>
      <c r="H88" s="432">
        <f>a.4.Timisoara!I88+a.4.Loc.TM!I88+a.4.Deta!I88+a.4.Jimbolia!I88+a.4.Sannicolau!I88+a.4.Faget!I88+a.4.Buzias!I88</f>
        <v>25000</v>
      </c>
      <c r="I88" s="432">
        <f>a.4.Timisoara!J88+a.4.Loc.TM!J88+a.4.Deta!J88+a.4.Jimbolia!J88+a.4.Sannicolau!J88+a.4.Faget!J88+a.4.Buzias!J88</f>
        <v>5000</v>
      </c>
      <c r="J88" s="432">
        <f>a.4.Timisoara!K88+a.4.Loc.TM!K88+a.4.Deta!K88+a.4.Jimbolia!K88+a.4.Sannicolau!K88+a.4.Faget!K88+a.4.Buzias!K88</f>
        <v>8000</v>
      </c>
      <c r="K88" s="432">
        <f>a.4.Timisoara!L88+a.4.Loc.TM!L88+a.4.Deta!L88+a.4.Jimbolia!L88+a.4.Sannicolau!L88+a.4.Faget!L88+a.4.Buzias!L88</f>
        <v>5000</v>
      </c>
      <c r="L88" s="432">
        <f>a.4.Timisoara!M88+a.4.Loc.TM!M88+a.4.Deta!M88+a.4.Jimbolia!M88+a.4.Sannicolau!M88+a.4.Faget!M88+a.4.Buzias!M88</f>
        <v>7000</v>
      </c>
      <c r="M88" s="430">
        <v>9300</v>
      </c>
      <c r="N88" s="430">
        <v>3500</v>
      </c>
      <c r="O88" s="430">
        <f t="shared" ref="O88:O90" si="43">SUM(M88:N88)</f>
        <v>12800</v>
      </c>
      <c r="P88" s="496">
        <v>25000</v>
      </c>
      <c r="Q88" s="114">
        <f t="shared" si="37"/>
        <v>0</v>
      </c>
    </row>
    <row r="89" spans="1:17" ht="28.5" customHeight="1" thickBot="1" x14ac:dyDescent="0.25">
      <c r="A89" s="978"/>
      <c r="B89" s="1019"/>
      <c r="C89" s="71"/>
      <c r="D89" s="102" t="s">
        <v>172</v>
      </c>
      <c r="E89" s="102" t="s">
        <v>383</v>
      </c>
      <c r="F89" s="290" t="s">
        <v>602</v>
      </c>
      <c r="G89" s="84">
        <f t="shared" si="38"/>
        <v>60</v>
      </c>
      <c r="H89" s="432">
        <f>a.4.Timisoara!I89+a.4.Loc.TM!I89+a.4.Deta!I89+a.4.Jimbolia!I89+a.4.Sannicolau!I89+a.4.Faget!I89+a.4.Buzias!I89</f>
        <v>25000</v>
      </c>
      <c r="I89" s="432">
        <f>a.4.Timisoara!J89+a.4.Loc.TM!J89+a.4.Deta!J89+a.4.Jimbolia!J89+a.4.Sannicolau!J89+a.4.Faget!J89+a.4.Buzias!J89</f>
        <v>5000</v>
      </c>
      <c r="J89" s="432">
        <f>a.4.Timisoara!K89+a.4.Loc.TM!K89+a.4.Deta!K89+a.4.Jimbolia!K89+a.4.Sannicolau!K89+a.4.Faget!K89+a.4.Buzias!K89</f>
        <v>5000</v>
      </c>
      <c r="K89" s="432">
        <f>a.4.Timisoara!L89+a.4.Loc.TM!L89+a.4.Deta!L89+a.4.Jimbolia!L89+a.4.Sannicolau!L89+a.4.Faget!L89+a.4.Buzias!L89</f>
        <v>8000</v>
      </c>
      <c r="L89" s="432">
        <f>a.4.Timisoara!M89+a.4.Loc.TM!M89+a.4.Deta!M89+a.4.Jimbolia!M89+a.4.Sannicolau!M89+a.4.Faget!M89+a.4.Buzias!M89</f>
        <v>7000</v>
      </c>
      <c r="M89" s="430">
        <v>0</v>
      </c>
      <c r="N89" s="430">
        <v>0</v>
      </c>
      <c r="O89" s="430">
        <f t="shared" si="43"/>
        <v>0</v>
      </c>
      <c r="P89" s="496">
        <v>25000</v>
      </c>
      <c r="Q89" s="114">
        <f t="shared" si="37"/>
        <v>0</v>
      </c>
    </row>
    <row r="90" spans="1:17" ht="20.25" customHeight="1" thickBot="1" x14ac:dyDescent="0.25">
      <c r="A90" s="978"/>
      <c r="B90" s="1019"/>
      <c r="C90" s="71"/>
      <c r="D90" s="102" t="s">
        <v>173</v>
      </c>
      <c r="E90" s="102" t="s">
        <v>384</v>
      </c>
      <c r="F90" s="290" t="s">
        <v>603</v>
      </c>
      <c r="G90" s="84">
        <f t="shared" si="38"/>
        <v>61</v>
      </c>
      <c r="H90" s="432">
        <f>a.4.Timisoara!I90+a.4.Loc.TM!I90+a.4.Deta!I90+a.4.Jimbolia!I90+a.4.Sannicolau!I90+a.4.Faget!I90+a.4.Buzias!I90</f>
        <v>125000</v>
      </c>
      <c r="I90" s="432">
        <f>a.4.Timisoara!J90+a.4.Loc.TM!J90+a.4.Deta!J90+a.4.Jimbolia!J90+a.4.Sannicolau!J90+a.4.Faget!J90+a.4.Buzias!J90</f>
        <v>25000</v>
      </c>
      <c r="J90" s="432">
        <f>a.4.Timisoara!K90+a.4.Loc.TM!K90+a.4.Deta!K90+a.4.Jimbolia!K90+a.4.Sannicolau!K90+a.4.Faget!K90+a.4.Buzias!K90</f>
        <v>30000</v>
      </c>
      <c r="K90" s="432">
        <f>a.4.Timisoara!L90+a.4.Loc.TM!L90+a.4.Deta!L90+a.4.Jimbolia!L90+a.4.Sannicolau!L90+a.4.Faget!L90+a.4.Buzias!L90</f>
        <v>40000</v>
      </c>
      <c r="L90" s="432">
        <f>a.4.Timisoara!M90+a.4.Loc.TM!M90+a.4.Deta!M90+a.4.Jimbolia!M90+a.4.Sannicolau!M90+a.4.Faget!M90+a.4.Buzias!M90</f>
        <v>30000</v>
      </c>
      <c r="M90" s="430">
        <v>77898</v>
      </c>
      <c r="N90" s="430">
        <v>14400</v>
      </c>
      <c r="O90" s="430">
        <f t="shared" si="43"/>
        <v>92298</v>
      </c>
      <c r="P90" s="496">
        <v>125000</v>
      </c>
      <c r="Q90" s="114">
        <f t="shared" si="37"/>
        <v>0</v>
      </c>
    </row>
    <row r="91" spans="1:17" ht="13.5" thickBot="1" x14ac:dyDescent="0.25">
      <c r="A91" s="978"/>
      <c r="B91" s="1019"/>
      <c r="C91" s="71" t="s">
        <v>28</v>
      </c>
      <c r="D91" s="973" t="s">
        <v>174</v>
      </c>
      <c r="E91" s="974"/>
      <c r="F91" s="275">
        <v>624</v>
      </c>
      <c r="G91" s="84">
        <f t="shared" si="38"/>
        <v>62</v>
      </c>
      <c r="H91" s="432">
        <f>a.4.Timisoara!I91+a.4.Loc.TM!I91+a.4.Deta!I91+a.4.Jimbolia!I91+a.4.Sannicolau!I91+a.4.Faget!I91+a.4.Buzias!I91</f>
        <v>900000</v>
      </c>
      <c r="I91" s="432">
        <f>a.4.Timisoara!J91+a.4.Loc.TM!J91+a.4.Deta!J91+a.4.Jimbolia!J91+a.4.Sannicolau!J91+a.4.Faget!J91+a.4.Buzias!J91</f>
        <v>200000</v>
      </c>
      <c r="J91" s="432">
        <f>a.4.Timisoara!K91+a.4.Loc.TM!K91+a.4.Deta!K91+a.4.Jimbolia!K91+a.4.Sannicolau!K91+a.4.Faget!K91+a.4.Buzias!K91</f>
        <v>200000</v>
      </c>
      <c r="K91" s="432">
        <f>a.4.Timisoara!L91+a.4.Loc.TM!L91+a.4.Deta!L91+a.4.Jimbolia!L91+a.4.Sannicolau!L91+a.4.Faget!L91+a.4.Buzias!L91</f>
        <v>250000</v>
      </c>
      <c r="L91" s="432">
        <f>a.4.Timisoara!M91+a.4.Loc.TM!M91+a.4.Deta!M91+a.4.Jimbolia!M91+a.4.Sannicolau!M91+a.4.Faget!M91+a.4.Buzias!M91</f>
        <v>250000</v>
      </c>
      <c r="M91" s="430">
        <f>SUM(M92:M94)</f>
        <v>413050</v>
      </c>
      <c r="N91" s="430">
        <f>SUM(N92:N94)</f>
        <v>33140</v>
      </c>
      <c r="O91" s="430">
        <f>SUM(O92:O94)</f>
        <v>892380</v>
      </c>
      <c r="P91" s="496">
        <v>900000</v>
      </c>
      <c r="Q91" s="114">
        <f t="shared" si="37"/>
        <v>0</v>
      </c>
    </row>
    <row r="92" spans="1:17" ht="13.5" thickBot="1" x14ac:dyDescent="0.25">
      <c r="A92" s="978"/>
      <c r="B92" s="1019"/>
      <c r="C92" s="71"/>
      <c r="D92" s="973" t="s">
        <v>604</v>
      </c>
      <c r="E92" s="974"/>
      <c r="F92" s="303" t="s">
        <v>605</v>
      </c>
      <c r="G92" s="84"/>
      <c r="H92" s="432">
        <f>a.4.Timisoara!I92+a.4.Loc.TM!I92+a.4.Deta!I92+a.4.Jimbolia!I92+a.4.Sannicolau!I92+a.4.Faget!I92+a.4.Buzias!I92</f>
        <v>150000</v>
      </c>
      <c r="I92" s="432">
        <f>a.4.Timisoara!J92+a.4.Loc.TM!J92+a.4.Deta!J92+a.4.Jimbolia!J92+a.4.Sannicolau!J92+a.4.Faget!J92+a.4.Buzias!J92</f>
        <v>30000</v>
      </c>
      <c r="J92" s="432">
        <f>a.4.Timisoara!K92+a.4.Loc.TM!K92+a.4.Deta!K92+a.4.Jimbolia!K92+a.4.Sannicolau!K92+a.4.Faget!K92+a.4.Buzias!K92</f>
        <v>30000</v>
      </c>
      <c r="K92" s="432">
        <f>a.4.Timisoara!L92+a.4.Loc.TM!L92+a.4.Deta!L92+a.4.Jimbolia!L92+a.4.Sannicolau!L92+a.4.Faget!L92+a.4.Buzias!L92</f>
        <v>50000</v>
      </c>
      <c r="L92" s="432">
        <f>a.4.Timisoara!M92+a.4.Loc.TM!M92+a.4.Deta!M92+a.4.Jimbolia!M92+a.4.Sannicolau!M92+a.4.Faget!M92+a.4.Buzias!M92</f>
        <v>40000</v>
      </c>
      <c r="M92" s="432">
        <f>116048+613</f>
        <v>116661</v>
      </c>
      <c r="N92" s="430">
        <v>9951</v>
      </c>
      <c r="O92" s="430">
        <f>SUM(M91:N91)</f>
        <v>446190</v>
      </c>
      <c r="P92" s="496">
        <v>150000</v>
      </c>
      <c r="Q92" s="114">
        <f t="shared" si="37"/>
        <v>0</v>
      </c>
    </row>
    <row r="93" spans="1:17" ht="13.5" thickBot="1" x14ac:dyDescent="0.25">
      <c r="A93" s="978"/>
      <c r="B93" s="1019"/>
      <c r="C93" s="71"/>
      <c r="D93" s="973" t="s">
        <v>606</v>
      </c>
      <c r="E93" s="974"/>
      <c r="F93" s="303" t="s">
        <v>607</v>
      </c>
      <c r="G93" s="84"/>
      <c r="H93" s="432">
        <f>a.4.Timisoara!I93+a.4.Loc.TM!I93+a.4.Deta!I93+a.4.Jimbolia!I93+a.4.Sannicolau!I93+a.4.Faget!I93+a.4.Buzias!I93</f>
        <v>480000</v>
      </c>
      <c r="I93" s="432">
        <f>a.4.Timisoara!J93+a.4.Loc.TM!J93+a.4.Deta!J93+a.4.Jimbolia!J93+a.4.Sannicolau!J93+a.4.Faget!J93+a.4.Buzias!J93</f>
        <v>120000</v>
      </c>
      <c r="J93" s="432">
        <f>a.4.Timisoara!K93+a.4.Loc.TM!K93+a.4.Deta!K93+a.4.Jimbolia!K93+a.4.Sannicolau!K93+a.4.Faget!K93+a.4.Buzias!K93</f>
        <v>120000</v>
      </c>
      <c r="K93" s="432">
        <f>a.4.Timisoara!L93+a.4.Loc.TM!L93+a.4.Deta!L93+a.4.Jimbolia!L93+a.4.Sannicolau!L93+a.4.Faget!L93+a.4.Buzias!L93</f>
        <v>120000</v>
      </c>
      <c r="L93" s="432">
        <f>a.4.Timisoara!M93+a.4.Loc.TM!M93+a.4.Deta!M93+a.4.Jimbolia!M93+a.4.Sannicolau!M93+a.4.Faget!M93+a.4.Buzias!M93</f>
        <v>120000</v>
      </c>
      <c r="M93" s="430">
        <v>296389</v>
      </c>
      <c r="N93" s="430">
        <v>23189</v>
      </c>
      <c r="O93" s="430">
        <f t="shared" ref="O93:O94" si="44">SUM(M92:N92)</f>
        <v>126612</v>
      </c>
      <c r="P93" s="496">
        <v>480000</v>
      </c>
      <c r="Q93" s="114">
        <f t="shared" si="37"/>
        <v>0</v>
      </c>
    </row>
    <row r="94" spans="1:17" ht="13.5" thickBot="1" x14ac:dyDescent="0.25">
      <c r="A94" s="978"/>
      <c r="B94" s="1019"/>
      <c r="C94" s="71"/>
      <c r="D94" s="973" t="s">
        <v>608</v>
      </c>
      <c r="E94" s="974"/>
      <c r="F94" s="303">
        <v>624</v>
      </c>
      <c r="G94" s="84"/>
      <c r="H94" s="432">
        <f>a.4.Timisoara!I94+a.4.Loc.TM!I94+a.4.Deta!I94+a.4.Jimbolia!I94+a.4.Sannicolau!I94+a.4.Faget!I94+a.4.Buzias!I94</f>
        <v>0</v>
      </c>
      <c r="I94" s="432">
        <f>a.4.Timisoara!J94+a.4.Loc.TM!J94+a.4.Deta!J94+a.4.Jimbolia!J94+a.4.Sannicolau!J94+a.4.Faget!J94+a.4.Buzias!J94</f>
        <v>0</v>
      </c>
      <c r="J94" s="432">
        <f>a.4.Timisoara!K94+a.4.Loc.TM!K94+a.4.Deta!K94+a.4.Jimbolia!K94+a.4.Sannicolau!K94+a.4.Faget!K94+a.4.Buzias!K94</f>
        <v>0</v>
      </c>
      <c r="K94" s="432">
        <f>a.4.Timisoara!L94+a.4.Loc.TM!L94+a.4.Deta!L94+a.4.Jimbolia!L94+a.4.Sannicolau!L94+a.4.Faget!L94+a.4.Buzias!L94</f>
        <v>0</v>
      </c>
      <c r="L94" s="432">
        <f>a.4.Timisoara!M94+a.4.Loc.TM!M94+a.4.Deta!M94+a.4.Jimbolia!M94+a.4.Sannicolau!M94+a.4.Faget!M94+a.4.Buzias!M94</f>
        <v>0</v>
      </c>
      <c r="M94" s="430"/>
      <c r="N94" s="430">
        <v>0</v>
      </c>
      <c r="O94" s="430">
        <f t="shared" si="44"/>
        <v>319578</v>
      </c>
      <c r="P94" s="496">
        <v>0</v>
      </c>
      <c r="Q94" s="114">
        <f t="shared" si="37"/>
        <v>0</v>
      </c>
    </row>
    <row r="95" spans="1:17" ht="13.5" thickBot="1" x14ac:dyDescent="0.25">
      <c r="A95" s="978"/>
      <c r="B95" s="1019"/>
      <c r="C95" s="71" t="s">
        <v>34</v>
      </c>
      <c r="D95" s="973" t="s">
        <v>175</v>
      </c>
      <c r="E95" s="974"/>
      <c r="F95" s="275">
        <v>625</v>
      </c>
      <c r="G95" s="84">
        <f>G91+1</f>
        <v>63</v>
      </c>
      <c r="H95" s="432">
        <f>a.4.Timisoara!I95+a.4.Loc.TM!I95+a.4.Deta!I95+a.4.Jimbolia!I95+a.4.Sannicolau!I95+a.4.Faget!I95+a.4.Buzias!I95</f>
        <v>260000</v>
      </c>
      <c r="I95" s="432">
        <f>a.4.Timisoara!J95+a.4.Loc.TM!J95+a.4.Deta!J95+a.4.Jimbolia!J95+a.4.Sannicolau!J95+a.4.Faget!J95+a.4.Buzias!J95</f>
        <v>50000</v>
      </c>
      <c r="J95" s="432">
        <f>a.4.Timisoara!K95+a.4.Loc.TM!K95+a.4.Deta!K95+a.4.Jimbolia!K95+a.4.Sannicolau!K95+a.4.Faget!K95+a.4.Buzias!K95</f>
        <v>65000</v>
      </c>
      <c r="K95" s="432">
        <f>a.4.Timisoara!L95+a.4.Loc.TM!L95+a.4.Deta!L95+a.4.Jimbolia!L95+a.4.Sannicolau!L95+a.4.Faget!L95+a.4.Buzias!L95</f>
        <v>80000</v>
      </c>
      <c r="L95" s="432">
        <f>a.4.Timisoara!M95+a.4.Loc.TM!M95+a.4.Deta!M95+a.4.Jimbolia!M95+a.4.Sannicolau!M95+a.4.Faget!M95+a.4.Buzias!M95</f>
        <v>65000</v>
      </c>
      <c r="M95" s="405">
        <f>M96+4415+105182</f>
        <v>154874</v>
      </c>
      <c r="N95" s="405">
        <f>6079+N96</f>
        <v>14241</v>
      </c>
      <c r="O95" s="430">
        <f>O96+O97</f>
        <v>95362</v>
      </c>
      <c r="P95" s="496">
        <v>260000</v>
      </c>
      <c r="Q95" s="114">
        <f t="shared" si="37"/>
        <v>0</v>
      </c>
    </row>
    <row r="96" spans="1:17" ht="13.5" thickBot="1" x14ac:dyDescent="0.25">
      <c r="A96" s="978"/>
      <c r="B96" s="1019"/>
      <c r="C96" s="71"/>
      <c r="D96" s="973" t="s">
        <v>467</v>
      </c>
      <c r="E96" s="974"/>
      <c r="F96" s="275">
        <v>625</v>
      </c>
      <c r="G96" s="84">
        <f t="shared" si="38"/>
        <v>64</v>
      </c>
      <c r="H96" s="432">
        <f>a.4.Timisoara!I96+a.4.Loc.TM!I96+a.4.Deta!I96+a.4.Jimbolia!I96+a.4.Sannicolau!I96+a.4.Faget!I96+a.4.Buzias!I96</f>
        <v>120000</v>
      </c>
      <c r="I96" s="432">
        <f>a.4.Timisoara!J96+a.4.Loc.TM!J96+a.4.Deta!J96+a.4.Jimbolia!J96+a.4.Sannicolau!J96+a.4.Faget!J96+a.4.Buzias!J96</f>
        <v>25000</v>
      </c>
      <c r="J96" s="432">
        <f>a.4.Timisoara!K96+a.4.Loc.TM!K96+a.4.Deta!K96+a.4.Jimbolia!K96+a.4.Sannicolau!K96+a.4.Faget!K96+a.4.Buzias!K96</f>
        <v>35000</v>
      </c>
      <c r="K96" s="432">
        <f>a.4.Timisoara!L96+a.4.Loc.TM!L96+a.4.Deta!L96+a.4.Jimbolia!L96+a.4.Sannicolau!L96+a.4.Faget!L96+a.4.Buzias!L96</f>
        <v>30000</v>
      </c>
      <c r="L96" s="432">
        <f>a.4.Timisoara!M96+a.4.Loc.TM!M96+a.4.Deta!M96+a.4.Jimbolia!M96+a.4.Sannicolau!M96+a.4.Faget!M96+a.4.Buzias!M96</f>
        <v>30000</v>
      </c>
      <c r="M96" s="405">
        <f t="shared" ref="M96:O96" si="45">M97+M98</f>
        <v>45277</v>
      </c>
      <c r="N96" s="405">
        <f t="shared" ref="N96" si="46">N97+N98</f>
        <v>8162</v>
      </c>
      <c r="O96" s="405">
        <f t="shared" si="45"/>
        <v>53439</v>
      </c>
      <c r="P96" s="496">
        <v>120000</v>
      </c>
      <c r="Q96" s="114">
        <f t="shared" si="37"/>
        <v>0</v>
      </c>
    </row>
    <row r="97" spans="1:17" ht="23.25" customHeight="1" thickBot="1" x14ac:dyDescent="0.25">
      <c r="A97" s="978"/>
      <c r="B97" s="1019"/>
      <c r="C97" s="71"/>
      <c r="D97" s="1021" t="s">
        <v>386</v>
      </c>
      <c r="E97" s="1022"/>
      <c r="F97" s="302" t="s">
        <v>609</v>
      </c>
      <c r="G97" s="84">
        <f t="shared" si="38"/>
        <v>65</v>
      </c>
      <c r="H97" s="432">
        <f>a.4.Timisoara!I97+a.4.Loc.TM!I97+a.4.Deta!I97+a.4.Jimbolia!I97+a.4.Sannicolau!I97+a.4.Faget!I97+a.4.Buzias!I97</f>
        <v>65000</v>
      </c>
      <c r="I97" s="432">
        <f>a.4.Timisoara!J97+a.4.Loc.TM!J97+a.4.Deta!J97+a.4.Jimbolia!J97+a.4.Sannicolau!J97+a.4.Faget!J97+a.4.Buzias!J97</f>
        <v>15000</v>
      </c>
      <c r="J97" s="432">
        <f>a.4.Timisoara!K97+a.4.Loc.TM!K97+a.4.Deta!K97+a.4.Jimbolia!K97+a.4.Sannicolau!K97+a.4.Faget!K97+a.4.Buzias!K97</f>
        <v>15000</v>
      </c>
      <c r="K97" s="432">
        <f>a.4.Timisoara!L97+a.4.Loc.TM!L97+a.4.Deta!L97+a.4.Jimbolia!L97+a.4.Sannicolau!L97+a.4.Faget!L97+a.4.Buzias!L97</f>
        <v>20000</v>
      </c>
      <c r="L97" s="432">
        <f>a.4.Timisoara!M97+a.4.Loc.TM!M97+a.4.Deta!M97+a.4.Jimbolia!M97+a.4.Sannicolau!M97+a.4.Faget!M97+a.4.Buzias!M97</f>
        <v>15000</v>
      </c>
      <c r="M97" s="430">
        <v>34769</v>
      </c>
      <c r="N97" s="430">
        <v>7154</v>
      </c>
      <c r="O97" s="430">
        <f>SUM(M97:N97)</f>
        <v>41923</v>
      </c>
      <c r="P97" s="496">
        <v>65000</v>
      </c>
      <c r="Q97" s="114">
        <f t="shared" si="37"/>
        <v>0</v>
      </c>
    </row>
    <row r="98" spans="1:17" ht="18" customHeight="1" thickBot="1" x14ac:dyDescent="0.25">
      <c r="A98" s="978"/>
      <c r="B98" s="1019"/>
      <c r="C98" s="71"/>
      <c r="D98" s="1021" t="s">
        <v>685</v>
      </c>
      <c r="E98" s="1022"/>
      <c r="F98" s="302" t="s">
        <v>610</v>
      </c>
      <c r="G98" s="84">
        <f t="shared" si="38"/>
        <v>66</v>
      </c>
      <c r="H98" s="432">
        <f>a.4.Timisoara!I98+a.4.Loc.TM!I98+a.4.Deta!I98+a.4.Jimbolia!I98+a.4.Sannicolau!I98+a.4.Faget!I98+a.4.Buzias!I98</f>
        <v>55000</v>
      </c>
      <c r="I98" s="432">
        <f>a.4.Timisoara!J98+a.4.Loc.TM!J98+a.4.Deta!J98+a.4.Jimbolia!J98+a.4.Sannicolau!J98+a.4.Faget!J98+a.4.Buzias!J98</f>
        <v>10000</v>
      </c>
      <c r="J98" s="432">
        <f>a.4.Timisoara!K98+a.4.Loc.TM!K98+a.4.Deta!K98+a.4.Jimbolia!K98+a.4.Sannicolau!K98+a.4.Faget!K98+a.4.Buzias!K98</f>
        <v>20000</v>
      </c>
      <c r="K98" s="432">
        <f>a.4.Timisoara!L98+a.4.Loc.TM!L98+a.4.Deta!L98+a.4.Jimbolia!L98+a.4.Sannicolau!L98+a.4.Faget!L98+a.4.Buzias!L98</f>
        <v>10000</v>
      </c>
      <c r="L98" s="432">
        <f>a.4.Timisoara!M98+a.4.Loc.TM!M98+a.4.Deta!M98+a.4.Jimbolia!M98+a.4.Sannicolau!M98+a.4.Faget!M98+a.4.Buzias!M98</f>
        <v>15000</v>
      </c>
      <c r="M98" s="430">
        <v>10508</v>
      </c>
      <c r="N98" s="430">
        <v>1008</v>
      </c>
      <c r="O98" s="430">
        <f t="shared" ref="O98:O100" si="47">SUM(M98:N98)</f>
        <v>11516</v>
      </c>
      <c r="P98" s="496">
        <v>55000</v>
      </c>
      <c r="Q98" s="114">
        <f t="shared" si="37"/>
        <v>0</v>
      </c>
    </row>
    <row r="99" spans="1:17" ht="13.5" thickBot="1" x14ac:dyDescent="0.25">
      <c r="A99" s="978"/>
      <c r="B99" s="1019"/>
      <c r="C99" s="71" t="s">
        <v>35</v>
      </c>
      <c r="D99" s="973" t="s">
        <v>177</v>
      </c>
      <c r="E99" s="974"/>
      <c r="F99" s="275">
        <v>626</v>
      </c>
      <c r="G99" s="84">
        <f t="shared" si="38"/>
        <v>67</v>
      </c>
      <c r="H99" s="432">
        <f>a.4.Timisoara!I99+a.4.Loc.TM!I99+a.4.Deta!I99+a.4.Jimbolia!I99+a.4.Sannicolau!I99+a.4.Faget!I99+a.4.Buzias!I99</f>
        <v>296563.88</v>
      </c>
      <c r="I99" s="432">
        <f>a.4.Timisoara!J99+a.4.Loc.TM!J99+a.4.Deta!J99+a.4.Jimbolia!J99+a.4.Sannicolau!J99+a.4.Faget!J99+a.4.Buzias!J99</f>
        <v>71703.899999999994</v>
      </c>
      <c r="J99" s="432">
        <f>a.4.Timisoara!K99+a.4.Loc.TM!K99+a.4.Deta!K99+a.4.Jimbolia!K99+a.4.Sannicolau!K99+a.4.Faget!K99+a.4.Buzias!K99</f>
        <v>71579.14</v>
      </c>
      <c r="K99" s="432">
        <f>a.4.Timisoara!L99+a.4.Loc.TM!L99+a.4.Deta!L99+a.4.Jimbolia!L99+a.4.Sannicolau!L99+a.4.Faget!L99+a.4.Buzias!L99</f>
        <v>76553.84</v>
      </c>
      <c r="L99" s="432">
        <f>a.4.Timisoara!M99+a.4.Loc.TM!M99+a.4.Deta!M99+a.4.Jimbolia!M99+a.4.Sannicolau!M99+a.4.Faget!M99+a.4.Buzias!M99</f>
        <v>76727</v>
      </c>
      <c r="M99" s="405">
        <f>113429+79893</f>
        <v>193322</v>
      </c>
      <c r="N99" s="405">
        <f>11495+6701</f>
        <v>18196</v>
      </c>
      <c r="O99" s="430">
        <f t="shared" si="47"/>
        <v>211518</v>
      </c>
      <c r="P99" s="496">
        <v>296563.88</v>
      </c>
      <c r="Q99" s="114">
        <f t="shared" si="37"/>
        <v>0</v>
      </c>
    </row>
    <row r="100" spans="1:17" ht="13.5" thickBot="1" x14ac:dyDescent="0.25">
      <c r="A100" s="978"/>
      <c r="B100" s="1019"/>
      <c r="C100" s="71" t="s">
        <v>178</v>
      </c>
      <c r="D100" s="973" t="s">
        <v>179</v>
      </c>
      <c r="E100" s="974"/>
      <c r="F100" s="275">
        <v>627</v>
      </c>
      <c r="G100" s="84">
        <f t="shared" si="38"/>
        <v>68</v>
      </c>
      <c r="H100" s="432">
        <f>a.4.Timisoara!I100+a.4.Loc.TM!I100+a.4.Deta!I100+a.4.Jimbolia!I100+a.4.Sannicolau!I100+a.4.Faget!I100+a.4.Buzias!I100</f>
        <v>289390.88</v>
      </c>
      <c r="I100" s="432">
        <f>a.4.Timisoara!J100+a.4.Loc.TM!J100+a.4.Deta!J100+a.4.Jimbolia!J100+a.4.Sannicolau!J100+a.4.Faget!J100+a.4.Buzias!J100</f>
        <v>62323.08</v>
      </c>
      <c r="J100" s="432">
        <f>a.4.Timisoara!K100+a.4.Loc.TM!K100+a.4.Deta!K100+a.4.Jimbolia!K100+a.4.Sannicolau!K100+a.4.Faget!K100+a.4.Buzias!K100</f>
        <v>72377.649999999994</v>
      </c>
      <c r="K100" s="432">
        <f>a.4.Timisoara!L100+a.4.Loc.TM!L100+a.4.Deta!L100+a.4.Jimbolia!L100+a.4.Sannicolau!L100+a.4.Faget!L100+a.4.Buzias!L100</f>
        <v>72298.149999999994</v>
      </c>
      <c r="L100" s="432">
        <f>a.4.Timisoara!M100+a.4.Loc.TM!M100+a.4.Deta!M100+a.4.Jimbolia!M100+a.4.Sannicolau!M100+a.4.Faget!M100+a.4.Buzias!M100</f>
        <v>82392</v>
      </c>
      <c r="M100" s="405">
        <f>190456+234+573</f>
        <v>191263</v>
      </c>
      <c r="N100" s="405">
        <v>16790</v>
      </c>
      <c r="O100" s="430">
        <f t="shared" si="47"/>
        <v>208053</v>
      </c>
      <c r="P100" s="496">
        <v>289390.88</v>
      </c>
      <c r="Q100" s="114">
        <f t="shared" si="37"/>
        <v>0</v>
      </c>
    </row>
    <row r="101" spans="1:17" ht="30" customHeight="1" thickBot="1" x14ac:dyDescent="0.25">
      <c r="A101" s="978"/>
      <c r="B101" s="1019"/>
      <c r="C101" s="71" t="s">
        <v>180</v>
      </c>
      <c r="D101" s="973" t="s">
        <v>181</v>
      </c>
      <c r="E101" s="974"/>
      <c r="F101" s="275" t="s">
        <v>611</v>
      </c>
      <c r="G101" s="84">
        <f t="shared" si="38"/>
        <v>69</v>
      </c>
      <c r="H101" s="432">
        <f>a.4.Timisoara!I101+a.4.Loc.TM!I101+a.4.Deta!I101+a.4.Jimbolia!I101+a.4.Sannicolau!I101+a.4.Faget!I101+a.4.Buzias!I101</f>
        <v>2117852.65</v>
      </c>
      <c r="I101" s="432">
        <f>a.4.Timisoara!J101+a.4.Loc.TM!J101+a.4.Deta!J101+a.4.Jimbolia!J101+a.4.Sannicolau!J101+a.4.Faget!J101+a.4.Buzias!J101</f>
        <v>469444.03</v>
      </c>
      <c r="J101" s="432">
        <f>a.4.Timisoara!K101+a.4.Loc.TM!K101+a.4.Deta!K101+a.4.Jimbolia!K101+a.4.Sannicolau!K101+a.4.Faget!K101+a.4.Buzias!K101</f>
        <v>504215.43</v>
      </c>
      <c r="K101" s="432">
        <f>a.4.Timisoara!L101+a.4.Loc.TM!L101+a.4.Deta!L101+a.4.Jimbolia!L101+a.4.Sannicolau!L101+a.4.Faget!L101+a.4.Buzias!L101</f>
        <v>576596.52</v>
      </c>
      <c r="L101" s="432">
        <f>a.4.Timisoara!M101+a.4.Loc.TM!M101+a.4.Deta!M101+a.4.Jimbolia!M101+a.4.Sannicolau!M101+a.4.Faget!M101+a.4.Buzias!M101</f>
        <v>567596.67000000004</v>
      </c>
      <c r="M101" s="405">
        <f>SUM(M102:M109)-M106</f>
        <v>1251150</v>
      </c>
      <c r="N101" s="405">
        <f>SUM(N102:N109)-N106</f>
        <v>139173</v>
      </c>
      <c r="O101" s="405">
        <f>SUM(O102:O109)-O106</f>
        <v>1390323</v>
      </c>
      <c r="P101" s="496">
        <v>2117852.65</v>
      </c>
      <c r="Q101" s="114">
        <f t="shared" si="37"/>
        <v>0</v>
      </c>
    </row>
    <row r="102" spans="1:17" ht="19.5" customHeight="1" thickBot="1" x14ac:dyDescent="0.25">
      <c r="A102" s="978"/>
      <c r="B102" s="1019"/>
      <c r="C102" s="71"/>
      <c r="D102" s="71" t="s">
        <v>56</v>
      </c>
      <c r="E102" s="71" t="s">
        <v>182</v>
      </c>
      <c r="F102" s="86" t="s">
        <v>612</v>
      </c>
      <c r="G102" s="84">
        <f t="shared" si="38"/>
        <v>70</v>
      </c>
      <c r="H102" s="432">
        <f>a.4.Timisoara!I102+a.4.Loc.TM!I102+a.4.Deta!I102+a.4.Jimbolia!I102+a.4.Sannicolau!I102+a.4.Faget!I102+a.4.Buzias!I102</f>
        <v>910000</v>
      </c>
      <c r="I102" s="432">
        <f>a.4.Timisoara!J102+a.4.Loc.TM!J102+a.4.Deta!J102+a.4.Jimbolia!J102+a.4.Sannicolau!J102+a.4.Faget!J102+a.4.Buzias!J102</f>
        <v>225000</v>
      </c>
      <c r="J102" s="432">
        <f>a.4.Timisoara!K102+a.4.Loc.TM!K102+a.4.Deta!K102+a.4.Jimbolia!K102+a.4.Sannicolau!K102+a.4.Faget!K102+a.4.Buzias!K102</f>
        <v>225000</v>
      </c>
      <c r="K102" s="432">
        <f>a.4.Timisoara!L102+a.4.Loc.TM!L102+a.4.Deta!L102+a.4.Jimbolia!L102+a.4.Sannicolau!L102+a.4.Faget!L102+a.4.Buzias!L102</f>
        <v>230000</v>
      </c>
      <c r="L102" s="432">
        <f>a.4.Timisoara!M102+a.4.Loc.TM!M102+a.4.Deta!M102+a.4.Jimbolia!M102+a.4.Sannicolau!M102+a.4.Faget!M102+a.4.Buzias!M102</f>
        <v>230000</v>
      </c>
      <c r="M102" s="485">
        <v>540000</v>
      </c>
      <c r="N102" s="405">
        <v>50000</v>
      </c>
      <c r="O102" s="405">
        <f>SUM(M102:N102)</f>
        <v>590000</v>
      </c>
      <c r="P102" s="496">
        <v>910000</v>
      </c>
      <c r="Q102" s="114">
        <f t="shared" si="37"/>
        <v>0</v>
      </c>
    </row>
    <row r="103" spans="1:17" ht="25.5" customHeight="1" thickBot="1" x14ac:dyDescent="0.25">
      <c r="A103" s="978"/>
      <c r="B103" s="1019"/>
      <c r="C103" s="71"/>
      <c r="D103" s="71" t="s">
        <v>57</v>
      </c>
      <c r="E103" s="71" t="s">
        <v>229</v>
      </c>
      <c r="F103" s="86" t="s">
        <v>613</v>
      </c>
      <c r="G103" s="84">
        <f t="shared" si="38"/>
        <v>71</v>
      </c>
      <c r="H103" s="432">
        <f>a.4.Timisoara!I103+a.4.Loc.TM!I103+a.4.Deta!I103+a.4.Jimbolia!I103+a.4.Sannicolau!I103+a.4.Faget!I103+a.4.Buzias!I103</f>
        <v>375500</v>
      </c>
      <c r="I103" s="432">
        <f>a.4.Timisoara!J103+a.4.Loc.TM!J103+a.4.Deta!J103+a.4.Jimbolia!J103+a.4.Sannicolau!J103+a.4.Faget!J103+a.4.Buzias!J103</f>
        <v>50125</v>
      </c>
      <c r="J103" s="432">
        <f>a.4.Timisoara!K103+a.4.Loc.TM!K103+a.4.Deta!K103+a.4.Jimbolia!K103+a.4.Sannicolau!K103+a.4.Faget!K103+a.4.Buzias!K103</f>
        <v>75125</v>
      </c>
      <c r="K103" s="432">
        <f>a.4.Timisoara!L103+a.4.Loc.TM!L103+a.4.Deta!L103+a.4.Jimbolia!L103+a.4.Sannicolau!L103+a.4.Faget!L103+a.4.Buzias!L103</f>
        <v>100125</v>
      </c>
      <c r="L103" s="432">
        <f>a.4.Timisoara!M103+a.4.Loc.TM!M103+a.4.Deta!M103+a.4.Jimbolia!M103+a.4.Sannicolau!M103+a.4.Faget!M103+a.4.Buzias!M103</f>
        <v>150125</v>
      </c>
      <c r="M103" s="405">
        <v>67873</v>
      </c>
      <c r="N103" s="405">
        <v>14087</v>
      </c>
      <c r="O103" s="405">
        <f t="shared" ref="O103:O109" si="48">SUM(M103:N103)</f>
        <v>81960</v>
      </c>
      <c r="P103" s="496">
        <v>375500</v>
      </c>
      <c r="Q103" s="114">
        <f t="shared" si="37"/>
        <v>0</v>
      </c>
    </row>
    <row r="104" spans="1:17" ht="19.5" customHeight="1" thickBot="1" x14ac:dyDescent="0.25">
      <c r="A104" s="978"/>
      <c r="B104" s="1019"/>
      <c r="C104" s="71"/>
      <c r="D104" s="71" t="s">
        <v>58</v>
      </c>
      <c r="E104" s="71" t="s">
        <v>183</v>
      </c>
      <c r="F104" s="86">
        <v>614</v>
      </c>
      <c r="G104" s="84">
        <f t="shared" si="38"/>
        <v>72</v>
      </c>
      <c r="H104" s="432">
        <f>a.4.Timisoara!I104+a.4.Loc.TM!I104+a.4.Deta!I104+a.4.Jimbolia!I104+a.4.Sannicolau!I104+a.4.Faget!I104+a.4.Buzias!I104</f>
        <v>312596.68</v>
      </c>
      <c r="I104" s="432">
        <f>a.4.Timisoara!J104+a.4.Loc.TM!J104+a.4.Deta!J104+a.4.Jimbolia!J104+a.4.Sannicolau!J104+a.4.Faget!J104+a.4.Buzias!J104</f>
        <v>50641.67</v>
      </c>
      <c r="J104" s="432">
        <f>a.4.Timisoara!K104+a.4.Loc.TM!K104+a.4.Deta!K104+a.4.Jimbolia!K104+a.4.Sannicolau!K104+a.4.Faget!K104+a.4.Buzias!K104</f>
        <v>60641.67</v>
      </c>
      <c r="K104" s="432">
        <f>a.4.Timisoara!L104+a.4.Loc.TM!L104+a.4.Deta!L104+a.4.Jimbolia!L104+a.4.Sannicolau!L104+a.4.Faget!L104+a.4.Buzias!L104</f>
        <v>100656.67</v>
      </c>
      <c r="L104" s="432">
        <f>a.4.Timisoara!M104+a.4.Loc.TM!M104+a.4.Deta!M104+a.4.Jimbolia!M104+a.4.Sannicolau!M104+a.4.Faget!M104+a.4.Buzias!M104</f>
        <v>100656.67</v>
      </c>
      <c r="M104" s="405">
        <v>79337</v>
      </c>
      <c r="N104" s="405">
        <v>5086</v>
      </c>
      <c r="O104" s="405">
        <f t="shared" si="48"/>
        <v>84423</v>
      </c>
      <c r="P104" s="496">
        <v>312596.68</v>
      </c>
      <c r="Q104" s="114">
        <f t="shared" si="37"/>
        <v>0</v>
      </c>
    </row>
    <row r="105" spans="1:17" ht="27" customHeight="1" thickBot="1" x14ac:dyDescent="0.25">
      <c r="A105" s="978"/>
      <c r="B105" s="1019"/>
      <c r="C105" s="71"/>
      <c r="D105" s="71" t="s">
        <v>59</v>
      </c>
      <c r="E105" s="71" t="s">
        <v>184</v>
      </c>
      <c r="F105" s="86" t="s">
        <v>614</v>
      </c>
      <c r="G105" s="84">
        <f t="shared" si="38"/>
        <v>73</v>
      </c>
      <c r="H105" s="432">
        <f>a.4.Timisoara!I105+a.4.Loc.TM!I105+a.4.Deta!I105+a.4.Jimbolia!I105+a.4.Sannicolau!I105+a.4.Faget!I105+a.4.Buzias!I105</f>
        <v>0</v>
      </c>
      <c r="I105" s="432">
        <f>a.4.Timisoara!J105+a.4.Loc.TM!J105+a.4.Deta!J105+a.4.Jimbolia!J105+a.4.Sannicolau!J105+a.4.Faget!J105+a.4.Buzias!J105</f>
        <v>0</v>
      </c>
      <c r="J105" s="432">
        <f>a.4.Timisoara!K105+a.4.Loc.TM!K105+a.4.Deta!K105+a.4.Jimbolia!K105+a.4.Sannicolau!K105+a.4.Faget!K105+a.4.Buzias!K105</f>
        <v>0</v>
      </c>
      <c r="K105" s="432">
        <f>a.4.Timisoara!L105+a.4.Loc.TM!L105+a.4.Deta!L105+a.4.Jimbolia!L105+a.4.Sannicolau!L105+a.4.Faget!L105+a.4.Buzias!L105</f>
        <v>0</v>
      </c>
      <c r="L105" s="432">
        <f>a.4.Timisoara!M105+a.4.Loc.TM!M105+a.4.Deta!M105+a.4.Jimbolia!M105+a.4.Sannicolau!M105+a.4.Faget!M105+a.4.Buzias!M105</f>
        <v>0</v>
      </c>
      <c r="M105" s="405"/>
      <c r="N105" s="405"/>
      <c r="O105" s="405">
        <f t="shared" si="48"/>
        <v>0</v>
      </c>
      <c r="P105" s="496">
        <v>0</v>
      </c>
      <c r="Q105" s="114">
        <f t="shared" si="37"/>
        <v>0</v>
      </c>
    </row>
    <row r="106" spans="1:17" ht="19.5" customHeight="1" thickBot="1" x14ac:dyDescent="0.25">
      <c r="A106" s="978"/>
      <c r="B106" s="1019"/>
      <c r="C106" s="71"/>
      <c r="D106" s="71"/>
      <c r="E106" s="71" t="s">
        <v>387</v>
      </c>
      <c r="F106" s="86"/>
      <c r="G106" s="84">
        <f t="shared" si="38"/>
        <v>74</v>
      </c>
      <c r="H106" s="432">
        <f>a.4.Timisoara!I106+a.4.Loc.TM!I106+a.4.Deta!I106+a.4.Jimbolia!I106+a.4.Sannicolau!I106+a.4.Faget!I106+a.4.Buzias!I106</f>
        <v>0</v>
      </c>
      <c r="I106" s="432">
        <f>a.4.Timisoara!J106+a.4.Loc.TM!J106+a.4.Deta!J106+a.4.Jimbolia!J106+a.4.Sannicolau!J106+a.4.Faget!J106+a.4.Buzias!J106</f>
        <v>0</v>
      </c>
      <c r="J106" s="432">
        <f>a.4.Timisoara!K106+a.4.Loc.TM!K106+a.4.Deta!K106+a.4.Jimbolia!K106+a.4.Sannicolau!K106+a.4.Faget!K106+a.4.Buzias!K106</f>
        <v>0</v>
      </c>
      <c r="K106" s="432">
        <f>a.4.Timisoara!L106+a.4.Loc.TM!L106+a.4.Deta!L106+a.4.Jimbolia!L106+a.4.Sannicolau!L106+a.4.Faget!L106+a.4.Buzias!L106</f>
        <v>0</v>
      </c>
      <c r="L106" s="432">
        <f>a.4.Timisoara!M106+a.4.Loc.TM!M106+a.4.Deta!M106+a.4.Jimbolia!M106+a.4.Sannicolau!M106+a.4.Faget!M106+a.4.Buzias!M106</f>
        <v>0</v>
      </c>
      <c r="M106" s="405"/>
      <c r="N106" s="405"/>
      <c r="O106" s="405">
        <f t="shared" si="48"/>
        <v>0</v>
      </c>
      <c r="P106" s="496">
        <v>0</v>
      </c>
      <c r="Q106" s="114">
        <f t="shared" si="37"/>
        <v>0</v>
      </c>
    </row>
    <row r="107" spans="1:17" ht="19.5" customHeight="1" thickBot="1" x14ac:dyDescent="0.25">
      <c r="A107" s="978"/>
      <c r="B107" s="1019"/>
      <c r="C107" s="71"/>
      <c r="D107" s="71" t="s">
        <v>60</v>
      </c>
      <c r="E107" s="71" t="s">
        <v>545</v>
      </c>
      <c r="F107" s="86" t="s">
        <v>615</v>
      </c>
      <c r="G107" s="84">
        <f t="shared" si="38"/>
        <v>75</v>
      </c>
      <c r="H107" s="432">
        <f>a.4.Timisoara!I107+a.4.Loc.TM!I107+a.4.Deta!I107+a.4.Jimbolia!I107+a.4.Sannicolau!I107+a.4.Faget!I107+a.4.Buzias!I107</f>
        <v>511755.97</v>
      </c>
      <c r="I107" s="432">
        <f>a.4.Timisoara!J107+a.4.Loc.TM!J107+a.4.Deta!J107+a.4.Jimbolia!J107+a.4.Sannicolau!J107+a.4.Faget!J107+a.4.Buzias!J107</f>
        <v>141677.35999999999</v>
      </c>
      <c r="J107" s="432">
        <f>a.4.Timisoara!K107+a.4.Loc.TM!K107+a.4.Deta!K107+a.4.Jimbolia!K107+a.4.Sannicolau!K107+a.4.Faget!K107+a.4.Buzias!K107</f>
        <v>141448.76</v>
      </c>
      <c r="K107" s="432">
        <f>a.4.Timisoara!L107+a.4.Loc.TM!L107+a.4.Deta!L107+a.4.Jimbolia!L107+a.4.Sannicolau!L107+a.4.Faget!L107+a.4.Buzias!L107</f>
        <v>143814.85</v>
      </c>
      <c r="L107" s="432">
        <f>a.4.Timisoara!M107+a.4.Loc.TM!M107+a.4.Deta!M107+a.4.Jimbolia!M107+a.4.Sannicolau!M107+a.4.Faget!M107+a.4.Buzias!M107</f>
        <v>84815</v>
      </c>
      <c r="M107" s="405">
        <v>552690</v>
      </c>
      <c r="N107" s="485">
        <v>70000</v>
      </c>
      <c r="O107" s="405">
        <f t="shared" si="48"/>
        <v>622690</v>
      </c>
      <c r="P107" s="496">
        <v>511755.97</v>
      </c>
      <c r="Q107" s="114">
        <f t="shared" si="37"/>
        <v>0</v>
      </c>
    </row>
    <row r="108" spans="1:17" ht="34.5" customHeight="1" thickBot="1" x14ac:dyDescent="0.25">
      <c r="A108" s="978"/>
      <c r="B108" s="1019"/>
      <c r="C108" s="71"/>
      <c r="D108" s="71" t="s">
        <v>61</v>
      </c>
      <c r="E108" s="71" t="s">
        <v>185</v>
      </c>
      <c r="F108" s="86" t="s">
        <v>22</v>
      </c>
      <c r="G108" s="84">
        <f t="shared" si="38"/>
        <v>76</v>
      </c>
      <c r="H108" s="432">
        <f>a.4.Timisoara!I108+a.4.Loc.TM!I108+a.4.Deta!I108+a.4.Jimbolia!I108+a.4.Sannicolau!I108+a.4.Faget!I108+a.4.Buzias!I108</f>
        <v>0</v>
      </c>
      <c r="I108" s="432">
        <f>a.4.Timisoara!J108+a.4.Loc.TM!J108+a.4.Deta!J108+a.4.Jimbolia!J108+a.4.Sannicolau!J108+a.4.Faget!J108+a.4.Buzias!J108</f>
        <v>0</v>
      </c>
      <c r="J108" s="432">
        <f>a.4.Timisoara!K108+a.4.Loc.TM!K108+a.4.Deta!K108+a.4.Jimbolia!K108+a.4.Sannicolau!K108+a.4.Faget!K108+a.4.Buzias!K108</f>
        <v>0</v>
      </c>
      <c r="K108" s="432">
        <f>a.4.Timisoara!L108+a.4.Loc.TM!L108+a.4.Deta!L108+a.4.Jimbolia!L108+a.4.Sannicolau!L108+a.4.Faget!L108+a.4.Buzias!L108</f>
        <v>0</v>
      </c>
      <c r="L108" s="432">
        <f>a.4.Timisoara!M108+a.4.Loc.TM!M108+a.4.Deta!M108+a.4.Jimbolia!M108+a.4.Sannicolau!M108+a.4.Faget!M108+a.4.Buzias!M108</f>
        <v>0</v>
      </c>
      <c r="M108" s="405"/>
      <c r="N108" s="405"/>
      <c r="O108" s="405">
        <f t="shared" si="48"/>
        <v>0</v>
      </c>
      <c r="P108" s="496">
        <v>0</v>
      </c>
      <c r="Q108" s="114">
        <f t="shared" si="37"/>
        <v>0</v>
      </c>
    </row>
    <row r="109" spans="1:17" ht="27.75" customHeight="1" thickBot="1" x14ac:dyDescent="0.25">
      <c r="A109" s="978"/>
      <c r="B109" s="1019"/>
      <c r="C109" s="71"/>
      <c r="D109" s="71" t="s">
        <v>62</v>
      </c>
      <c r="E109" s="71" t="s">
        <v>186</v>
      </c>
      <c r="F109" s="86" t="s">
        <v>616</v>
      </c>
      <c r="G109" s="84">
        <f t="shared" si="38"/>
        <v>77</v>
      </c>
      <c r="H109" s="432">
        <f>a.4.Timisoara!I109+a.4.Loc.TM!I109+a.4.Deta!I109+a.4.Jimbolia!I109+a.4.Sannicolau!I109+a.4.Faget!I109+a.4.Buzias!I109</f>
        <v>8000</v>
      </c>
      <c r="I109" s="432">
        <f>a.4.Timisoara!J109+a.4.Loc.TM!J109+a.4.Deta!J109+a.4.Jimbolia!J109+a.4.Sannicolau!J109+a.4.Faget!J109+a.4.Buzias!J109</f>
        <v>2000</v>
      </c>
      <c r="J109" s="432">
        <f>a.4.Timisoara!K109+a.4.Loc.TM!K109+a.4.Deta!K109+a.4.Jimbolia!K109+a.4.Sannicolau!K109+a.4.Faget!K109+a.4.Buzias!K109</f>
        <v>2000</v>
      </c>
      <c r="K109" s="432">
        <f>a.4.Timisoara!L109+a.4.Loc.TM!L109+a.4.Deta!L109+a.4.Jimbolia!L109+a.4.Sannicolau!L109+a.4.Faget!L109+a.4.Buzias!L109</f>
        <v>2000</v>
      </c>
      <c r="L109" s="432">
        <f>a.4.Timisoara!M109+a.4.Loc.TM!M109+a.4.Deta!M109+a.4.Jimbolia!M109+a.4.Sannicolau!M109+a.4.Faget!M109+a.4.Buzias!M109</f>
        <v>2000</v>
      </c>
      <c r="M109" s="405">
        <v>11250</v>
      </c>
      <c r="N109" s="405">
        <v>0</v>
      </c>
      <c r="O109" s="405">
        <f t="shared" si="48"/>
        <v>11250</v>
      </c>
      <c r="P109" s="496">
        <v>8000</v>
      </c>
      <c r="Q109" s="114">
        <f t="shared" si="37"/>
        <v>0</v>
      </c>
    </row>
    <row r="110" spans="1:17" ht="13.5" thickBot="1" x14ac:dyDescent="0.25">
      <c r="A110" s="978"/>
      <c r="B110" s="1019"/>
      <c r="C110" s="71" t="s">
        <v>344</v>
      </c>
      <c r="D110" s="973" t="s">
        <v>149</v>
      </c>
      <c r="E110" s="974"/>
      <c r="F110" s="275">
        <f>SUM(F111:F114)</f>
        <v>0</v>
      </c>
      <c r="G110" s="84">
        <f t="shared" si="38"/>
        <v>78</v>
      </c>
      <c r="H110" s="432">
        <f>a.4.Timisoara!I110+a.4.Loc.TM!I110+a.4.Deta!I110+a.4.Jimbolia!I110+a.4.Sannicolau!I110+a.4.Faget!I110+a.4.Buzias!I110</f>
        <v>4132197.19</v>
      </c>
      <c r="I110" s="432">
        <f>a.4.Timisoara!J110+a.4.Loc.TM!J110+a.4.Deta!J110+a.4.Jimbolia!J110+a.4.Sannicolau!J110+a.4.Faget!J110+a.4.Buzias!J110</f>
        <v>771877.39</v>
      </c>
      <c r="J110" s="432">
        <f>a.4.Timisoara!K110+a.4.Loc.TM!K110+a.4.Deta!K110+a.4.Jimbolia!K110+a.4.Sannicolau!K110+a.4.Faget!K110+a.4.Buzias!K110</f>
        <v>916323.98</v>
      </c>
      <c r="K110" s="432">
        <f>a.4.Timisoara!L110+a.4.Loc.TM!L110+a.4.Deta!L110+a.4.Jimbolia!L110+a.4.Sannicolau!L110+a.4.Faget!L110+a.4.Buzias!L110</f>
        <v>1250269.82</v>
      </c>
      <c r="L110" s="432">
        <f>a.4.Timisoara!M110+a.4.Loc.TM!M110+a.4.Deta!M110+a.4.Jimbolia!M110+a.4.Sannicolau!M110+a.4.Faget!M110+a.4.Buzias!M110</f>
        <v>1193726</v>
      </c>
      <c r="M110" s="405">
        <f>SUM(M111:M114)</f>
        <v>3032970</v>
      </c>
      <c r="N110" s="405">
        <f>SUM(N111:N114)</f>
        <v>311659</v>
      </c>
      <c r="O110" s="405">
        <f>SUM(O111:O114)</f>
        <v>3344629</v>
      </c>
      <c r="P110" s="496">
        <v>3817197.19</v>
      </c>
      <c r="Q110" s="732">
        <f t="shared" si="37"/>
        <v>315000</v>
      </c>
    </row>
    <row r="111" spans="1:17" ht="13.5" thickBot="1" x14ac:dyDescent="0.25">
      <c r="A111" s="978"/>
      <c r="B111" s="1019"/>
      <c r="C111" s="278"/>
      <c r="D111" s="304"/>
      <c r="E111" s="279" t="s">
        <v>617</v>
      </c>
      <c r="F111" s="296" t="s">
        <v>618</v>
      </c>
      <c r="G111" s="84"/>
      <c r="H111" s="432">
        <f>a.4.Timisoara!I111+a.4.Loc.TM!I111+a.4.Deta!I111+a.4.Jimbolia!I111+a.4.Sannicolau!I111+a.4.Faget!I111+a.4.Buzias!I111</f>
        <v>173072.9</v>
      </c>
      <c r="I111" s="432">
        <f>a.4.Timisoara!J111+a.4.Loc.TM!J111+a.4.Deta!J111+a.4.Jimbolia!J111+a.4.Sannicolau!J111+a.4.Faget!J111+a.4.Buzias!J111</f>
        <v>42658.3</v>
      </c>
      <c r="J111" s="432">
        <f>a.4.Timisoara!K111+a.4.Loc.TM!K111+a.4.Deta!K111+a.4.Jimbolia!K111+a.4.Sannicolau!K111+a.4.Faget!K111+a.4.Buzias!K111</f>
        <v>42658.3</v>
      </c>
      <c r="K111" s="432">
        <f>a.4.Timisoara!L111+a.4.Loc.TM!L111+a.4.Deta!L111+a.4.Jimbolia!L111+a.4.Sannicolau!L111+a.4.Faget!L111+a.4.Buzias!L111</f>
        <v>47658.3</v>
      </c>
      <c r="L111" s="432">
        <f>a.4.Timisoara!M111+a.4.Loc.TM!M111+a.4.Deta!M111+a.4.Jimbolia!M111+a.4.Sannicolau!M111+a.4.Faget!M111+a.4.Buzias!M111</f>
        <v>47658</v>
      </c>
      <c r="M111" s="405">
        <v>120393</v>
      </c>
      <c r="N111" s="405">
        <v>8047</v>
      </c>
      <c r="O111" s="405">
        <f>SUM(M111:N111)</f>
        <v>128440</v>
      </c>
      <c r="P111" s="496">
        <v>173072.9</v>
      </c>
      <c r="Q111" s="114">
        <f t="shared" si="37"/>
        <v>0</v>
      </c>
    </row>
    <row r="112" spans="1:17" ht="13.5" thickBot="1" x14ac:dyDescent="0.25">
      <c r="A112" s="978"/>
      <c r="B112" s="1019"/>
      <c r="C112" s="278"/>
      <c r="D112" s="304"/>
      <c r="E112" s="279" t="s">
        <v>619</v>
      </c>
      <c r="F112" s="296" t="s">
        <v>620</v>
      </c>
      <c r="G112" s="84"/>
      <c r="H112" s="432">
        <f>a.4.Timisoara!I112+a.4.Loc.TM!I112+a.4.Deta!I112+a.4.Jimbolia!I112+a.4.Sannicolau!I112+a.4.Faget!I112+a.4.Buzias!I112</f>
        <v>80000</v>
      </c>
      <c r="I112" s="432">
        <f>a.4.Timisoara!J112+a.4.Loc.TM!J112+a.4.Deta!J112+a.4.Jimbolia!J112+a.4.Sannicolau!J112+a.4.Faget!J112+a.4.Buzias!J112</f>
        <v>15250</v>
      </c>
      <c r="J112" s="432">
        <f>a.4.Timisoara!K112+a.4.Loc.TM!K112+a.4.Deta!K112+a.4.Jimbolia!K112+a.4.Sannicolau!K112+a.4.Faget!K112+a.4.Buzias!K112</f>
        <v>20250</v>
      </c>
      <c r="K112" s="432">
        <f>a.4.Timisoara!L112+a.4.Loc.TM!L112+a.4.Deta!L112+a.4.Jimbolia!L112+a.4.Sannicolau!L112+a.4.Faget!L112+a.4.Buzias!L112</f>
        <v>25250</v>
      </c>
      <c r="L112" s="432">
        <f>a.4.Timisoara!M112+a.4.Loc.TM!M112+a.4.Deta!M112+a.4.Jimbolia!M112+a.4.Sannicolau!M112+a.4.Faget!M112+a.4.Buzias!M112</f>
        <v>20250</v>
      </c>
      <c r="M112" s="405">
        <f>55859+1498</f>
        <v>57357</v>
      </c>
      <c r="N112" s="405">
        <v>6327</v>
      </c>
      <c r="O112" s="405">
        <f t="shared" ref="O112:O114" si="49">SUM(M112:N112)</f>
        <v>63684</v>
      </c>
      <c r="P112" s="496">
        <v>80000</v>
      </c>
      <c r="Q112" s="114">
        <f t="shared" si="37"/>
        <v>0</v>
      </c>
    </row>
    <row r="113" spans="1:17" ht="13.5" thickBot="1" x14ac:dyDescent="0.25">
      <c r="A113" s="978"/>
      <c r="B113" s="1019"/>
      <c r="C113" s="278"/>
      <c r="D113" s="304"/>
      <c r="E113" s="279" t="s">
        <v>621</v>
      </c>
      <c r="F113" s="305" t="s">
        <v>622</v>
      </c>
      <c r="G113" s="84"/>
      <c r="H113" s="432">
        <f>a.4.Timisoara!I113+a.4.Loc.TM!I113+a.4.Deta!I113+a.4.Jimbolia!I113+a.4.Sannicolau!I113+a.4.Faget!I113+a.4.Buzias!I113</f>
        <v>78282</v>
      </c>
      <c r="I113" s="432">
        <f>a.4.Timisoara!J113+a.4.Loc.TM!J113+a.4.Deta!J113+a.4.Jimbolia!J113+a.4.Sannicolau!J113+a.4.Faget!J113+a.4.Buzias!J113</f>
        <v>17955</v>
      </c>
      <c r="J113" s="432">
        <f>a.4.Timisoara!K113+a.4.Loc.TM!K113+a.4.Deta!K113+a.4.Jimbolia!K113+a.4.Sannicolau!K113+a.4.Faget!K113+a.4.Buzias!K113</f>
        <v>24477</v>
      </c>
      <c r="K113" s="432">
        <f>a.4.Timisoara!L113+a.4.Loc.TM!L113+a.4.Deta!L113+a.4.Jimbolia!L113+a.4.Sannicolau!L113+a.4.Faget!L113+a.4.Buzias!L113</f>
        <v>17925</v>
      </c>
      <c r="L113" s="432">
        <f>a.4.Timisoara!M113+a.4.Loc.TM!M113+a.4.Deta!M113+a.4.Jimbolia!M113+a.4.Sannicolau!M113+a.4.Faget!M113+a.4.Buzias!M113</f>
        <v>27925</v>
      </c>
      <c r="M113" s="405">
        <v>63013</v>
      </c>
      <c r="N113" s="405">
        <v>330</v>
      </c>
      <c r="O113" s="405">
        <f t="shared" si="49"/>
        <v>63343</v>
      </c>
      <c r="P113" s="496">
        <v>78282</v>
      </c>
      <c r="Q113" s="114">
        <f t="shared" si="37"/>
        <v>0</v>
      </c>
    </row>
    <row r="114" spans="1:17" ht="23.25" thickBot="1" x14ac:dyDescent="0.25">
      <c r="A114" s="978"/>
      <c r="B114" s="1019"/>
      <c r="C114" s="278"/>
      <c r="D114" s="304"/>
      <c r="E114" s="279" t="s">
        <v>623</v>
      </c>
      <c r="F114" s="296" t="s">
        <v>624</v>
      </c>
      <c r="G114" s="84"/>
      <c r="H114" s="432">
        <f>a.4.Timisoara!I114+a.4.Loc.TM!I114+a.4.Deta!I114+a.4.Jimbolia!I114+a.4.Sannicolau!I114+a.4.Faget!I114+a.4.Buzias!I114</f>
        <v>3226982.29</v>
      </c>
      <c r="I114" s="432">
        <f>a.4.Timisoara!J114+a.4.Loc.TM!J114+a.4.Deta!J114+a.4.Jimbolia!J114+a.4.Sannicolau!J114+a.4.Faget!J114+a.4.Buzias!J114</f>
        <v>696014.09</v>
      </c>
      <c r="J114" s="432">
        <f>a.4.Timisoara!K114+a.4.Loc.TM!K114+a.4.Deta!K114+a.4.Jimbolia!K114+a.4.Sannicolau!K114+a.4.Faget!K114+a.4.Buzias!K114</f>
        <v>828938.68</v>
      </c>
      <c r="K114" s="432">
        <f>a.4.Timisoara!L114+a.4.Loc.TM!L114+a.4.Deta!L114+a.4.Jimbolia!L114+a.4.Sannicolau!L114+a.4.Faget!L114+a.4.Buzias!L114</f>
        <v>1159436.52</v>
      </c>
      <c r="L114" s="432">
        <f>a.4.Timisoara!M114+a.4.Loc.TM!M114+a.4.Deta!M114+a.4.Jimbolia!M114+a.4.Sannicolau!M114+a.4.Faget!M114+a.4.Buzias!M114</f>
        <v>1097893</v>
      </c>
      <c r="M114" s="405">
        <f>3285736+9667+11798+16+24990-540000</f>
        <v>2792207</v>
      </c>
      <c r="N114" s="405">
        <f>345537+758+660-50000</f>
        <v>296955</v>
      </c>
      <c r="O114" s="405">
        <f t="shared" si="49"/>
        <v>3089162</v>
      </c>
      <c r="P114" s="496">
        <v>2911982.29</v>
      </c>
      <c r="Q114" s="732">
        <f t="shared" si="37"/>
        <v>315000</v>
      </c>
    </row>
    <row r="115" spans="1:17" ht="23.25" customHeight="1" thickBot="1" x14ac:dyDescent="0.25">
      <c r="A115" s="978"/>
      <c r="B115" s="1019"/>
      <c r="C115" s="1026" t="s">
        <v>468</v>
      </c>
      <c r="D115" s="1027"/>
      <c r="E115" s="1028"/>
      <c r="F115" s="277"/>
      <c r="G115" s="97">
        <f>G110+1</f>
        <v>79</v>
      </c>
      <c r="H115" s="426">
        <f>a.4.Timisoara!I115+a.4.Loc.TM!I115+a.4.Deta!I115+a.4.Jimbolia!I115+a.4.Sannicolau!I115+a.4.Faget!I115+a.4.Buzias!I115</f>
        <v>13805724.49</v>
      </c>
      <c r="I115" s="426">
        <f>a.4.Timisoara!J115+a.4.Loc.TM!J115+a.4.Deta!J115+a.4.Jimbolia!J115+a.4.Sannicolau!J115+a.4.Faget!J115+a.4.Buzias!J115</f>
        <v>2056887.04</v>
      </c>
      <c r="J115" s="426">
        <f>a.4.Timisoara!K115+a.4.Loc.TM!K115+a.4.Deta!K115+a.4.Jimbolia!K115+a.4.Sannicolau!K115+a.4.Faget!K115+a.4.Buzias!K115</f>
        <v>2068709.26</v>
      </c>
      <c r="K115" s="426">
        <f>a.4.Timisoara!L115+a.4.Loc.TM!L115+a.4.Deta!L115+a.4.Jimbolia!L115+a.4.Sannicolau!L115+a.4.Faget!L115+a.4.Buzias!L115</f>
        <v>4844509.53</v>
      </c>
      <c r="L115" s="426">
        <f>a.4.Timisoara!M115+a.4.Loc.TM!M115+a.4.Deta!M115+a.4.Jimbolia!M115+a.4.Sannicolau!M115+a.4.Faget!M115+a.4.Buzias!M115</f>
        <v>4835618.66</v>
      </c>
      <c r="M115" s="424">
        <f t="shared" ref="M115:O115" si="50">M116+M117+M118+M119+M120+M121</f>
        <v>6785357</v>
      </c>
      <c r="N115" s="424">
        <f>N116+N117+N118+N122+N120+N121</f>
        <v>868929</v>
      </c>
      <c r="O115" s="424">
        <f t="shared" si="50"/>
        <v>7611587</v>
      </c>
      <c r="P115" s="427">
        <v>8441557.4900000002</v>
      </c>
      <c r="Q115" s="732">
        <f t="shared" si="37"/>
        <v>5364167</v>
      </c>
    </row>
    <row r="116" spans="1:17" ht="13.5" thickBot="1" x14ac:dyDescent="0.25">
      <c r="A116" s="978"/>
      <c r="B116" s="1019"/>
      <c r="C116" s="71" t="s">
        <v>27</v>
      </c>
      <c r="D116" s="973" t="s">
        <v>188</v>
      </c>
      <c r="E116" s="974"/>
      <c r="F116" s="275" t="s">
        <v>22</v>
      </c>
      <c r="G116" s="84">
        <f t="shared" si="38"/>
        <v>80</v>
      </c>
      <c r="H116" s="432">
        <f>a.4.Timisoara!I116+a.4.Loc.TM!I116+a.4.Deta!I116+a.4.Jimbolia!I116+a.4.Sannicolau!I116+a.4.Faget!I116+a.4.Buzias!I116</f>
        <v>0</v>
      </c>
      <c r="I116" s="432">
        <f>a.4.Timisoara!J116+a.4.Loc.TM!J116+a.4.Deta!J116+a.4.Jimbolia!J116+a.4.Sannicolau!J116+a.4.Faget!J116+a.4.Buzias!J116</f>
        <v>0</v>
      </c>
      <c r="J116" s="432">
        <f>a.4.Timisoara!K116+a.4.Loc.TM!K116+a.4.Deta!K116+a.4.Jimbolia!K116+a.4.Sannicolau!K116+a.4.Faget!K116+a.4.Buzias!K116</f>
        <v>0</v>
      </c>
      <c r="K116" s="432">
        <f>a.4.Timisoara!L116+a.4.Loc.TM!L116+a.4.Deta!L116+a.4.Jimbolia!L116+a.4.Sannicolau!L116+a.4.Faget!L116+a.4.Buzias!L116</f>
        <v>0</v>
      </c>
      <c r="L116" s="432">
        <f>a.4.Timisoara!M116+a.4.Loc.TM!M116+a.4.Deta!M116+a.4.Jimbolia!M116+a.4.Sannicolau!M116+a.4.Faget!M116+a.4.Buzias!M116</f>
        <v>0</v>
      </c>
      <c r="M116" s="405"/>
      <c r="N116" s="405"/>
      <c r="O116" s="405">
        <f>SUM(M116:N116)</f>
        <v>0</v>
      </c>
      <c r="P116" s="496">
        <v>0</v>
      </c>
      <c r="Q116" s="114">
        <f t="shared" si="37"/>
        <v>0</v>
      </c>
    </row>
    <row r="117" spans="1:17" ht="13.5" thickBot="1" x14ac:dyDescent="0.25">
      <c r="A117" s="978"/>
      <c r="B117" s="1019"/>
      <c r="C117" s="71" t="s">
        <v>38</v>
      </c>
      <c r="D117" s="973" t="s">
        <v>388</v>
      </c>
      <c r="E117" s="974"/>
      <c r="F117" s="275" t="s">
        <v>625</v>
      </c>
      <c r="G117" s="84">
        <f t="shared" si="38"/>
        <v>81</v>
      </c>
      <c r="H117" s="432">
        <f>a.4.Timisoara!I117+a.4.Loc.TM!I117+a.4.Deta!I117+a.4.Jimbolia!I117+a.4.Sannicolau!I117+a.4.Faget!I117+a.4.Buzias!I117</f>
        <v>10700000</v>
      </c>
      <c r="I117" s="432">
        <f>a.4.Timisoara!J117+a.4.Loc.TM!J117+a.4.Deta!J117+a.4.Jimbolia!J117+a.4.Sannicolau!J117+a.4.Faget!J117+a.4.Buzias!J117</f>
        <v>1330000</v>
      </c>
      <c r="J117" s="432">
        <f>a.4.Timisoara!K117+a.4.Loc.TM!K117+a.4.Deta!K117+a.4.Jimbolia!K117+a.4.Sannicolau!K117+a.4.Faget!K117+a.4.Buzias!K117</f>
        <v>1335833</v>
      </c>
      <c r="K117" s="432">
        <f>a.4.Timisoara!L117+a.4.Loc.TM!L117+a.4.Deta!L117+a.4.Jimbolia!L117+a.4.Sannicolau!L117+a.4.Faget!L117+a.4.Buzias!L117</f>
        <v>4035000</v>
      </c>
      <c r="L117" s="432">
        <f>a.4.Timisoara!M117+a.4.Loc.TM!M117+a.4.Deta!M117+a.4.Jimbolia!M117+a.4.Sannicolau!M117+a.4.Faget!M117+a.4.Buzias!M117</f>
        <v>3999167</v>
      </c>
      <c r="M117" s="405">
        <v>4881666</v>
      </c>
      <c r="N117" s="405">
        <v>445002</v>
      </c>
      <c r="O117" s="405">
        <f t="shared" ref="O117:O120" si="51">SUM(M117:N117)</f>
        <v>5326668</v>
      </c>
      <c r="P117" s="496">
        <v>5335833</v>
      </c>
      <c r="Q117" s="732">
        <f t="shared" si="37"/>
        <v>5364167</v>
      </c>
    </row>
    <row r="118" spans="1:17" ht="13.5" thickBot="1" x14ac:dyDescent="0.25">
      <c r="A118" s="978"/>
      <c r="B118" s="1019"/>
      <c r="C118" s="71" t="s">
        <v>40</v>
      </c>
      <c r="D118" s="973" t="s">
        <v>41</v>
      </c>
      <c r="E118" s="974"/>
      <c r="F118" s="275" t="s">
        <v>626</v>
      </c>
      <c r="G118" s="84">
        <f t="shared" si="38"/>
        <v>82</v>
      </c>
      <c r="H118" s="432">
        <f>a.4.Timisoara!I118+a.4.Loc.TM!I118+a.4.Deta!I118+a.4.Jimbolia!I118+a.4.Sannicolau!I118+a.4.Faget!I118+a.4.Buzias!I118</f>
        <v>40000</v>
      </c>
      <c r="I118" s="432">
        <f>a.4.Timisoara!J118+a.4.Loc.TM!J118+a.4.Deta!J118+a.4.Jimbolia!J118+a.4.Sannicolau!J118+a.4.Faget!J118+a.4.Buzias!J118</f>
        <v>10000</v>
      </c>
      <c r="J118" s="432">
        <f>a.4.Timisoara!K118+a.4.Loc.TM!K118+a.4.Deta!K118+a.4.Jimbolia!K118+a.4.Sannicolau!K118+a.4.Faget!K118+a.4.Buzias!K118</f>
        <v>10000</v>
      </c>
      <c r="K118" s="432">
        <f>a.4.Timisoara!L118+a.4.Loc.TM!L118+a.4.Deta!L118+a.4.Jimbolia!L118+a.4.Sannicolau!L118+a.4.Faget!L118+a.4.Buzias!L118</f>
        <v>10000</v>
      </c>
      <c r="L118" s="432">
        <f>a.4.Timisoara!M118+a.4.Loc.TM!M118+a.4.Deta!M118+a.4.Jimbolia!M118+a.4.Sannicolau!M118+a.4.Faget!M118+a.4.Buzias!M118</f>
        <v>10000</v>
      </c>
      <c r="M118" s="405">
        <v>22412</v>
      </c>
      <c r="N118" s="405">
        <v>2038</v>
      </c>
      <c r="O118" s="405">
        <f t="shared" si="51"/>
        <v>24450</v>
      </c>
      <c r="P118" s="496">
        <v>40000</v>
      </c>
      <c r="Q118" s="114">
        <f t="shared" si="37"/>
        <v>0</v>
      </c>
    </row>
    <row r="119" spans="1:17" ht="13.5" thickBot="1" x14ac:dyDescent="0.25">
      <c r="A119" s="979"/>
      <c r="B119" s="1020"/>
      <c r="C119" s="71" t="s">
        <v>42</v>
      </c>
      <c r="D119" s="973" t="s">
        <v>43</v>
      </c>
      <c r="E119" s="974"/>
      <c r="F119" s="275" t="s">
        <v>627</v>
      </c>
      <c r="G119" s="84">
        <f t="shared" si="38"/>
        <v>83</v>
      </c>
      <c r="H119" s="432">
        <f>a.4.Timisoara!I119+a.4.Loc.TM!I119+a.4.Deta!I119+a.4.Jimbolia!I119+a.4.Sannicolau!I119+a.4.Faget!I119+a.4.Buzias!I119</f>
        <v>83317.38</v>
      </c>
      <c r="I119" s="432">
        <f>a.4.Timisoara!J119+a.4.Loc.TM!J119+a.4.Deta!J119+a.4.Jimbolia!J119+a.4.Sannicolau!J119+a.4.Faget!J119+a.4.Buzias!J119</f>
        <v>21392.38</v>
      </c>
      <c r="J119" s="432">
        <f>a.4.Timisoara!K119+a.4.Loc.TM!K119+a.4.Deta!K119+a.4.Jimbolia!K119+a.4.Sannicolau!K119+a.4.Faget!K119+a.4.Buzias!K119</f>
        <v>19225</v>
      </c>
      <c r="K119" s="432">
        <f>a.4.Timisoara!L119+a.4.Loc.TM!L119+a.4.Deta!L119+a.4.Jimbolia!L119+a.4.Sannicolau!L119+a.4.Faget!L119+a.4.Buzias!L119</f>
        <v>20575</v>
      </c>
      <c r="L119" s="432">
        <f>a.4.Timisoara!M119+a.4.Loc.TM!M119+a.4.Deta!M119+a.4.Jimbolia!M119+a.4.Sannicolau!M119+a.4.Faget!M119+a.4.Buzias!M119</f>
        <v>22125</v>
      </c>
      <c r="M119" s="405">
        <v>79172</v>
      </c>
      <c r="N119">
        <v>2301</v>
      </c>
      <c r="O119" s="405">
        <f t="shared" si="51"/>
        <v>81473</v>
      </c>
      <c r="P119" s="496">
        <v>83317.38</v>
      </c>
      <c r="Q119" s="114">
        <f t="shared" si="37"/>
        <v>0</v>
      </c>
    </row>
    <row r="120" spans="1:17" ht="13.5" thickBot="1" x14ac:dyDescent="0.25">
      <c r="A120" s="977"/>
      <c r="B120" s="1018"/>
      <c r="C120" s="71" t="s">
        <v>28</v>
      </c>
      <c r="D120" s="973" t="s">
        <v>44</v>
      </c>
      <c r="E120" s="974"/>
      <c r="F120" s="275" t="s">
        <v>628</v>
      </c>
      <c r="G120" s="84">
        <f t="shared" si="38"/>
        <v>84</v>
      </c>
      <c r="H120" s="432">
        <f>a.4.Timisoara!I120+a.4.Loc.TM!I120+a.4.Deta!I120+a.4.Jimbolia!I120+a.4.Sannicolau!I120+a.4.Faget!I120+a.4.Buzias!I120</f>
        <v>6000</v>
      </c>
      <c r="I120" s="432">
        <f>a.4.Timisoara!J120+a.4.Loc.TM!J120+a.4.Deta!J120+a.4.Jimbolia!J120+a.4.Sannicolau!J120+a.4.Faget!J120+a.4.Buzias!J120</f>
        <v>2000</v>
      </c>
      <c r="J120" s="432">
        <f>a.4.Timisoara!K120+a.4.Loc.TM!K120+a.4.Deta!K120+a.4.Jimbolia!K120+a.4.Sannicolau!K120+a.4.Faget!K120+a.4.Buzias!K120</f>
        <v>1000</v>
      </c>
      <c r="K120" s="432">
        <f>a.4.Timisoara!L120+a.4.Loc.TM!L120+a.4.Deta!L120+a.4.Jimbolia!L120+a.4.Sannicolau!L120+a.4.Faget!L120+a.4.Buzias!L120</f>
        <v>1000</v>
      </c>
      <c r="L120" s="432">
        <f>a.4.Timisoara!M120+a.4.Loc.TM!M120+a.4.Deta!M120+a.4.Jimbolia!M120+a.4.Sannicolau!M120+a.4.Faget!M120+a.4.Buzias!M120</f>
        <v>2000</v>
      </c>
      <c r="M120" s="405">
        <v>750</v>
      </c>
      <c r="N120" s="405"/>
      <c r="O120" s="405">
        <f t="shared" si="51"/>
        <v>750</v>
      </c>
      <c r="P120" s="496">
        <v>6000</v>
      </c>
      <c r="Q120" s="114">
        <f t="shared" si="37"/>
        <v>0</v>
      </c>
    </row>
    <row r="121" spans="1:17" ht="13.5" thickBot="1" x14ac:dyDescent="0.25">
      <c r="A121" s="978"/>
      <c r="B121" s="1019"/>
      <c r="C121" s="71" t="s">
        <v>34</v>
      </c>
      <c r="D121" s="1029" t="s">
        <v>45</v>
      </c>
      <c r="E121" s="1032"/>
      <c r="F121" s="275" t="s">
        <v>629</v>
      </c>
      <c r="G121" s="84">
        <f t="shared" si="38"/>
        <v>85</v>
      </c>
      <c r="H121" s="432">
        <f>a.4.Timisoara!I121+a.4.Loc.TM!I121+a.4.Deta!I121+a.4.Jimbolia!I121+a.4.Sannicolau!I121+a.4.Faget!I121+a.4.Buzias!I121</f>
        <v>2976407.11</v>
      </c>
      <c r="I121" s="432">
        <f>a.4.Timisoara!J121+a.4.Loc.TM!J121+a.4.Deta!J121+a.4.Jimbolia!J121+a.4.Sannicolau!J121+a.4.Faget!J121+a.4.Buzias!J121</f>
        <v>693494.66</v>
      </c>
      <c r="J121" s="432">
        <f>a.4.Timisoara!K121+a.4.Loc.TM!K121+a.4.Deta!K121+a.4.Jimbolia!K121+a.4.Sannicolau!K121+a.4.Faget!K121+a.4.Buzias!K121</f>
        <v>702651.26</v>
      </c>
      <c r="K121" s="432">
        <f>a.4.Timisoara!L121+a.4.Loc.TM!L121+a.4.Deta!L121+a.4.Jimbolia!L121+a.4.Sannicolau!L121+a.4.Faget!L121+a.4.Buzias!L121</f>
        <v>777934.53</v>
      </c>
      <c r="L121" s="432">
        <f>a.4.Timisoara!M121+a.4.Loc.TM!M121+a.4.Deta!M121+a.4.Jimbolia!M121+a.4.Sannicolau!M121+a.4.Faget!M121+a.4.Buzias!M121</f>
        <v>802326.66</v>
      </c>
      <c r="M121" s="405">
        <f>SUM(M122:M130)</f>
        <v>1801357</v>
      </c>
      <c r="N121" s="405">
        <f>SUM(N122:N130)</f>
        <v>376889</v>
      </c>
      <c r="O121" s="405">
        <f>SUM(O122:O130)</f>
        <v>2178246</v>
      </c>
      <c r="P121" s="496">
        <v>2976407.11</v>
      </c>
      <c r="Q121" s="114">
        <f t="shared" si="37"/>
        <v>0</v>
      </c>
    </row>
    <row r="122" spans="1:17" ht="17.25" customHeight="1" thickBot="1" x14ac:dyDescent="0.25">
      <c r="A122" s="978"/>
      <c r="B122" s="1019"/>
      <c r="C122" s="278"/>
      <c r="D122" s="278"/>
      <c r="E122" s="279" t="s">
        <v>630</v>
      </c>
      <c r="F122" s="296" t="s">
        <v>631</v>
      </c>
      <c r="G122" s="84"/>
      <c r="H122" s="432">
        <f>a.4.Timisoara!I122+a.4.Loc.TM!I122+a.4.Deta!I122+a.4.Jimbolia!I122+a.4.Sannicolau!I122+a.4.Faget!I122+a.4.Buzias!I122</f>
        <v>151474.49</v>
      </c>
      <c r="I122" s="432">
        <f>a.4.Timisoara!J122+a.4.Loc.TM!J122+a.4.Deta!J122+a.4.Jimbolia!J122+a.4.Sannicolau!J122+a.4.Faget!J122+a.4.Buzias!J122</f>
        <v>33460</v>
      </c>
      <c r="J122" s="432">
        <f>a.4.Timisoara!K122+a.4.Loc.TM!K122+a.4.Deta!K122+a.4.Jimbolia!K122+a.4.Sannicolau!K122+a.4.Faget!K122+a.4.Buzias!K122</f>
        <v>43726.6</v>
      </c>
      <c r="K122" s="432">
        <f>a.4.Timisoara!L122+a.4.Loc.TM!L122+a.4.Deta!L122+a.4.Jimbolia!L122+a.4.Sannicolau!L122+a.4.Faget!L122+a.4.Buzias!L122</f>
        <v>43774.89</v>
      </c>
      <c r="L122" s="432">
        <f>a.4.Timisoara!M122+a.4.Loc.TM!M122+a.4.Deta!M122+a.4.Jimbolia!M122+a.4.Sannicolau!M122+a.4.Faget!M122+a.4.Buzias!M122</f>
        <v>38691</v>
      </c>
      <c r="M122" s="405">
        <v>125383</v>
      </c>
      <c r="N122" s="405">
        <v>45000</v>
      </c>
      <c r="O122" s="405">
        <f>SUM(M122:N122)</f>
        <v>170383</v>
      </c>
      <c r="P122" s="496">
        <v>151474.49</v>
      </c>
      <c r="Q122" s="114">
        <f t="shared" si="37"/>
        <v>0</v>
      </c>
    </row>
    <row r="123" spans="1:17" ht="17.25" customHeight="1" thickBot="1" x14ac:dyDescent="0.25">
      <c r="A123" s="978"/>
      <c r="B123" s="1019"/>
      <c r="C123" s="278"/>
      <c r="D123" s="278"/>
      <c r="E123" s="279" t="s">
        <v>632</v>
      </c>
      <c r="F123" s="296" t="s">
        <v>633</v>
      </c>
      <c r="G123" s="84"/>
      <c r="H123" s="432">
        <f>a.4.Timisoara!I123+a.4.Loc.TM!I123+a.4.Deta!I123+a.4.Jimbolia!I123+a.4.Sannicolau!I123+a.4.Faget!I123+a.4.Buzias!I123</f>
        <v>92892</v>
      </c>
      <c r="I123" s="432">
        <f>a.4.Timisoara!J123+a.4.Loc.TM!J123+a.4.Deta!J123+a.4.Jimbolia!J123+a.4.Sannicolau!J123+a.4.Faget!J123+a.4.Buzias!J123</f>
        <v>22774</v>
      </c>
      <c r="J123" s="432">
        <f>a.4.Timisoara!K123+a.4.Loc.TM!K123+a.4.Deta!K123+a.4.Jimbolia!K123+a.4.Sannicolau!K123+a.4.Faget!K123+a.4.Buzias!K123</f>
        <v>22772</v>
      </c>
      <c r="K123" s="432">
        <f>a.4.Timisoara!L123+a.4.Loc.TM!L123+a.4.Deta!L123+a.4.Jimbolia!L123+a.4.Sannicolau!L123+a.4.Faget!L123+a.4.Buzias!L123</f>
        <v>27773</v>
      </c>
      <c r="L123" s="432">
        <f>a.4.Timisoara!M123+a.4.Loc.TM!M123+a.4.Deta!M123+a.4.Jimbolia!M123+a.4.Sannicolau!M123+a.4.Faget!M123+a.4.Buzias!M123</f>
        <v>27773</v>
      </c>
      <c r="M123" s="405">
        <f>45056+327</f>
        <v>45383</v>
      </c>
      <c r="N123" s="405">
        <v>14843</v>
      </c>
      <c r="O123" s="405">
        <f t="shared" ref="O123:O130" si="52">SUM(M123:N123)</f>
        <v>60226</v>
      </c>
      <c r="P123" s="496">
        <v>92892</v>
      </c>
      <c r="Q123" s="114">
        <f t="shared" si="37"/>
        <v>0</v>
      </c>
    </row>
    <row r="124" spans="1:17" ht="17.25" customHeight="1" thickBot="1" x14ac:dyDescent="0.25">
      <c r="A124" s="978"/>
      <c r="B124" s="1019"/>
      <c r="C124" s="278"/>
      <c r="D124" s="278"/>
      <c r="E124" s="279" t="s">
        <v>634</v>
      </c>
      <c r="F124" s="296" t="s">
        <v>635</v>
      </c>
      <c r="G124" s="84"/>
      <c r="H124" s="432">
        <f>a.4.Timisoara!I124+a.4.Loc.TM!I124+a.4.Deta!I124+a.4.Jimbolia!I124+a.4.Sannicolau!I124+a.4.Faget!I124+a.4.Buzias!I124</f>
        <v>120120</v>
      </c>
      <c r="I124" s="432">
        <f>a.4.Timisoara!J124+a.4.Loc.TM!J124+a.4.Deta!J124+a.4.Jimbolia!J124+a.4.Sannicolau!J124+a.4.Faget!J124+a.4.Buzias!J124</f>
        <v>30030</v>
      </c>
      <c r="J124" s="432">
        <f>a.4.Timisoara!K124+a.4.Loc.TM!K124+a.4.Deta!K124+a.4.Jimbolia!K124+a.4.Sannicolau!K124+a.4.Faget!K124+a.4.Buzias!K124</f>
        <v>30030</v>
      </c>
      <c r="K124" s="432">
        <f>a.4.Timisoara!L124+a.4.Loc.TM!L124+a.4.Deta!L124+a.4.Jimbolia!L124+a.4.Sannicolau!L124+a.4.Faget!L124+a.4.Buzias!L124</f>
        <v>30030</v>
      </c>
      <c r="L124" s="432">
        <f>a.4.Timisoara!M124+a.4.Loc.TM!M124+a.4.Deta!M124+a.4.Jimbolia!M124+a.4.Sannicolau!M124+a.4.Faget!M124+a.4.Buzias!M124</f>
        <v>30030</v>
      </c>
      <c r="M124" s="405">
        <v>67564</v>
      </c>
      <c r="N124" s="405">
        <v>0</v>
      </c>
      <c r="O124" s="405">
        <f t="shared" si="52"/>
        <v>67564</v>
      </c>
      <c r="P124" s="496">
        <v>120120</v>
      </c>
      <c r="Q124" s="114">
        <f t="shared" si="37"/>
        <v>0</v>
      </c>
    </row>
    <row r="125" spans="1:17" ht="17.25" customHeight="1" thickBot="1" x14ac:dyDescent="0.25">
      <c r="A125" s="978"/>
      <c r="B125" s="1019"/>
      <c r="C125" s="278"/>
      <c r="D125" s="278"/>
      <c r="E125" s="279" t="s">
        <v>636</v>
      </c>
      <c r="F125" s="296" t="s">
        <v>637</v>
      </c>
      <c r="G125" s="84"/>
      <c r="H125" s="432">
        <f>a.4.Timisoara!I125+a.4.Loc.TM!I125+a.4.Deta!I125+a.4.Jimbolia!I125+a.4.Sannicolau!I125+a.4.Faget!I125+a.4.Buzias!I125</f>
        <v>1340449.32</v>
      </c>
      <c r="I125" s="432">
        <f>a.4.Timisoara!J125+a.4.Loc.TM!J125+a.4.Deta!J125+a.4.Jimbolia!J125+a.4.Sannicolau!J125+a.4.Faget!J125+a.4.Buzias!J125</f>
        <v>318537.33</v>
      </c>
      <c r="J125" s="432">
        <f>a.4.Timisoara!K125+a.4.Loc.TM!K125+a.4.Deta!K125+a.4.Jimbolia!K125+a.4.Sannicolau!K125+a.4.Faget!K125+a.4.Buzias!K125</f>
        <v>318537.33</v>
      </c>
      <c r="K125" s="432">
        <f>a.4.Timisoara!L125+a.4.Loc.TM!L125+a.4.Deta!L125+a.4.Jimbolia!L125+a.4.Sannicolau!L125+a.4.Faget!L125+a.4.Buzias!L125</f>
        <v>368537.33</v>
      </c>
      <c r="L125" s="432">
        <f>a.4.Timisoara!M125+a.4.Loc.TM!M125+a.4.Deta!M125+a.4.Jimbolia!M125+a.4.Sannicolau!M125+a.4.Faget!M125+a.4.Buzias!M125</f>
        <v>368537.33</v>
      </c>
      <c r="M125" s="405">
        <v>725141</v>
      </c>
      <c r="N125" s="405">
        <v>221961</v>
      </c>
      <c r="O125" s="405">
        <f t="shared" si="52"/>
        <v>947102</v>
      </c>
      <c r="P125" s="496">
        <v>1340449.32</v>
      </c>
      <c r="Q125" s="114">
        <f t="shared" si="37"/>
        <v>0</v>
      </c>
    </row>
    <row r="126" spans="1:17" ht="17.25" customHeight="1" thickBot="1" x14ac:dyDescent="0.25">
      <c r="A126" s="978"/>
      <c r="B126" s="1019"/>
      <c r="C126" s="278"/>
      <c r="D126" s="278"/>
      <c r="E126" s="279" t="s">
        <v>638</v>
      </c>
      <c r="F126" s="296" t="s">
        <v>639</v>
      </c>
      <c r="G126" s="84"/>
      <c r="H126" s="432">
        <f>a.4.Timisoara!I126+a.4.Loc.TM!I126+a.4.Deta!I126+a.4.Jimbolia!I126+a.4.Sannicolau!I126+a.4.Faget!I126+a.4.Buzias!I126</f>
        <v>200169.32</v>
      </c>
      <c r="I126" s="432">
        <f>a.4.Timisoara!J126+a.4.Loc.TM!J126+a.4.Deta!J126+a.4.Jimbolia!J126+a.4.Sannicolau!J126+a.4.Faget!J126+a.4.Buzias!J126</f>
        <v>50533.33</v>
      </c>
      <c r="J126" s="432">
        <f>a.4.Timisoara!K126+a.4.Loc.TM!K126+a.4.Deta!K126+a.4.Jimbolia!K126+a.4.Sannicolau!K126+a.4.Faget!K126+a.4.Buzias!K126</f>
        <v>50533.33</v>
      </c>
      <c r="K126" s="432">
        <f>a.4.Timisoara!L126+a.4.Loc.TM!L126+a.4.Deta!L126+a.4.Jimbolia!L126+a.4.Sannicolau!L126+a.4.Faget!L126+a.4.Buzias!L126</f>
        <v>50533.33</v>
      </c>
      <c r="L126" s="432">
        <f>a.4.Timisoara!M126+a.4.Loc.TM!M126+a.4.Deta!M126+a.4.Jimbolia!M126+a.4.Sannicolau!M126+a.4.Faget!M126+a.4.Buzias!M126</f>
        <v>50537.33</v>
      </c>
      <c r="M126" s="405">
        <v>121810</v>
      </c>
      <c r="N126" s="405">
        <v>40019</v>
      </c>
      <c r="O126" s="405">
        <f t="shared" si="52"/>
        <v>161829</v>
      </c>
      <c r="P126" s="496">
        <v>200169.32</v>
      </c>
      <c r="Q126" s="114">
        <f t="shared" si="37"/>
        <v>0</v>
      </c>
    </row>
    <row r="127" spans="1:17" ht="17.25" customHeight="1" thickBot="1" x14ac:dyDescent="0.25">
      <c r="A127" s="978"/>
      <c r="B127" s="1019"/>
      <c r="C127" s="278"/>
      <c r="D127" s="278"/>
      <c r="E127" s="279" t="s">
        <v>640</v>
      </c>
      <c r="F127" s="296" t="s">
        <v>641</v>
      </c>
      <c r="G127" s="84"/>
      <c r="H127" s="432">
        <f>a.4.Timisoara!I127+a.4.Loc.TM!I127+a.4.Deta!I127+a.4.Jimbolia!I127+a.4.Sannicolau!I127+a.4.Faget!I127+a.4.Buzias!I127</f>
        <v>2016</v>
      </c>
      <c r="I127" s="432">
        <f>a.4.Timisoara!J127+a.4.Loc.TM!J127+a.4.Deta!J127+a.4.Jimbolia!J127+a.4.Sannicolau!J127+a.4.Faget!J127+a.4.Buzias!J127</f>
        <v>2056</v>
      </c>
      <c r="J127" s="432">
        <f>a.4.Timisoara!K127+a.4.Loc.TM!K127+a.4.Deta!K127+a.4.Jimbolia!K127+a.4.Sannicolau!K127+a.4.Faget!K127+a.4.Buzias!K127</f>
        <v>48</v>
      </c>
      <c r="K127" s="432">
        <f>a.4.Timisoara!L127+a.4.Loc.TM!L127+a.4.Deta!L127+a.4.Jimbolia!L127+a.4.Sannicolau!L127+a.4.Faget!L127+a.4.Buzias!L127</f>
        <v>56</v>
      </c>
      <c r="L127" s="432">
        <f>a.4.Timisoara!M127+a.4.Loc.TM!M127+a.4.Deta!M127+a.4.Jimbolia!M127+a.4.Sannicolau!M127+a.4.Faget!M127+a.4.Buzias!M127</f>
        <v>48</v>
      </c>
      <c r="M127" s="405">
        <v>984</v>
      </c>
      <c r="N127" s="405"/>
      <c r="O127" s="405">
        <f t="shared" si="52"/>
        <v>984</v>
      </c>
      <c r="P127" s="496">
        <v>2016</v>
      </c>
      <c r="Q127" s="114">
        <f t="shared" si="37"/>
        <v>0</v>
      </c>
    </row>
    <row r="128" spans="1:17" ht="17.25" customHeight="1" thickBot="1" x14ac:dyDescent="0.25">
      <c r="A128" s="978"/>
      <c r="B128" s="1019"/>
      <c r="C128" s="278"/>
      <c r="D128" s="278"/>
      <c r="E128" s="279" t="s">
        <v>642</v>
      </c>
      <c r="F128" s="296" t="s">
        <v>643</v>
      </c>
      <c r="G128" s="84"/>
      <c r="H128" s="432">
        <f>a.4.Timisoara!I128+a.4.Loc.TM!I128+a.4.Deta!I128+a.4.Jimbolia!I128+a.4.Sannicolau!I128+a.4.Faget!I128+a.4.Buzias!I128</f>
        <v>345000</v>
      </c>
      <c r="I128" s="432">
        <f>a.4.Timisoara!J128+a.4.Loc.TM!J128+a.4.Deta!J128+a.4.Jimbolia!J128+a.4.Sannicolau!J128+a.4.Faget!J128+a.4.Buzias!J128</f>
        <v>80100</v>
      </c>
      <c r="J128" s="432">
        <f>a.4.Timisoara!K128+a.4.Loc.TM!K128+a.4.Deta!K128+a.4.Jimbolia!K128+a.4.Sannicolau!K128+a.4.Faget!K128+a.4.Buzias!K128</f>
        <v>80100</v>
      </c>
      <c r="K128" s="432">
        <f>a.4.Timisoara!L128+a.4.Loc.TM!L128+a.4.Deta!L128+a.4.Jimbolia!L128+a.4.Sannicolau!L128+a.4.Faget!L128+a.4.Buzias!L128</f>
        <v>85100</v>
      </c>
      <c r="L128" s="432">
        <f>a.4.Timisoara!M128+a.4.Loc.TM!M128+a.4.Deta!M128+a.4.Jimbolia!M128+a.4.Sannicolau!M128+a.4.Faget!M128+a.4.Buzias!M128</f>
        <v>100100</v>
      </c>
      <c r="M128" s="405">
        <v>248756</v>
      </c>
      <c r="N128" s="405">
        <v>25030</v>
      </c>
      <c r="O128" s="405">
        <f t="shared" si="52"/>
        <v>273786</v>
      </c>
      <c r="P128" s="496">
        <v>345000</v>
      </c>
      <c r="Q128" s="114">
        <f t="shared" si="37"/>
        <v>0</v>
      </c>
    </row>
    <row r="129" spans="1:17" ht="17.25" customHeight="1" thickBot="1" x14ac:dyDescent="0.25">
      <c r="A129" s="978"/>
      <c r="B129" s="1019"/>
      <c r="C129" s="278"/>
      <c r="D129" s="278"/>
      <c r="E129" s="279" t="s">
        <v>644</v>
      </c>
      <c r="F129" s="296" t="s">
        <v>645</v>
      </c>
      <c r="G129" s="84"/>
      <c r="H129" s="432">
        <f>a.4.Timisoara!I129+a.4.Loc.TM!I129+a.4.Deta!I129+a.4.Jimbolia!I129+a.4.Sannicolau!I129+a.4.Faget!I129+a.4.Buzias!I129</f>
        <v>440087.98</v>
      </c>
      <c r="I129" s="432">
        <f>a.4.Timisoara!J129+a.4.Loc.TM!J129+a.4.Deta!J129+a.4.Jimbolia!J129+a.4.Sannicolau!J129+a.4.Faget!J129+a.4.Buzias!J129</f>
        <v>106389</v>
      </c>
      <c r="J129" s="432">
        <f>a.4.Timisoara!K129+a.4.Loc.TM!K129+a.4.Deta!K129+a.4.Jimbolia!K129+a.4.Sannicolau!K129+a.4.Faget!K129+a.4.Buzias!K129</f>
        <v>106789</v>
      </c>
      <c r="K129" s="432">
        <f>a.4.Timisoara!L129+a.4.Loc.TM!L129+a.4.Deta!L129+a.4.Jimbolia!L129+a.4.Sannicolau!L129+a.4.Faget!L129+a.4.Buzias!L129</f>
        <v>121964.98</v>
      </c>
      <c r="L129" s="432">
        <f>a.4.Timisoara!M129+a.4.Loc.TM!M129+a.4.Deta!M129+a.4.Jimbolia!M129+a.4.Sannicolau!M129+a.4.Faget!M129+a.4.Buzias!M129</f>
        <v>126985</v>
      </c>
      <c r="M129" s="405">
        <f>199270+1045+42457+78908+622+4276</f>
        <v>326578</v>
      </c>
      <c r="N129" s="405">
        <v>15036</v>
      </c>
      <c r="O129" s="405">
        <f t="shared" si="52"/>
        <v>341614</v>
      </c>
      <c r="P129" s="496">
        <v>440087.98</v>
      </c>
      <c r="Q129" s="114">
        <f t="shared" si="37"/>
        <v>0</v>
      </c>
    </row>
    <row r="130" spans="1:17" ht="17.25" customHeight="1" thickBot="1" x14ac:dyDescent="0.25">
      <c r="A130" s="978"/>
      <c r="B130" s="1019"/>
      <c r="C130" s="278"/>
      <c r="D130" s="278"/>
      <c r="E130" s="279" t="s">
        <v>646</v>
      </c>
      <c r="F130" s="296" t="s">
        <v>647</v>
      </c>
      <c r="G130" s="84"/>
      <c r="H130" s="432">
        <f>a.4.Timisoara!I130+a.4.Loc.TM!I130+a.4.Deta!I130+a.4.Jimbolia!I130+a.4.Sannicolau!I130+a.4.Faget!I130+a.4.Buzias!I130</f>
        <v>210000</v>
      </c>
      <c r="I130" s="432">
        <f>a.4.Timisoara!J130+a.4.Loc.TM!J130+a.4.Deta!J130+a.4.Jimbolia!J130+a.4.Sannicolau!J130+a.4.Faget!J130+a.4.Buzias!J130</f>
        <v>50000</v>
      </c>
      <c r="J130" s="432">
        <f>a.4.Timisoara!K130+a.4.Loc.TM!K130+a.4.Deta!K130+a.4.Jimbolia!K130+a.4.Sannicolau!K130+a.4.Faget!K130+a.4.Buzias!K130</f>
        <v>50000</v>
      </c>
      <c r="K130" s="432">
        <f>a.4.Timisoara!L130+a.4.Loc.TM!L130+a.4.Deta!L130+a.4.Jimbolia!L130+a.4.Sannicolau!L130+a.4.Faget!L130+a.4.Buzias!L130</f>
        <v>50000</v>
      </c>
      <c r="L130" s="432">
        <f>a.4.Timisoara!M130+a.4.Loc.TM!M130+a.4.Deta!M130+a.4.Jimbolia!M130+a.4.Sannicolau!M130+a.4.Faget!M130+a.4.Buzias!M130</f>
        <v>60000</v>
      </c>
      <c r="M130" s="405">
        <v>139758</v>
      </c>
      <c r="N130" s="485">
        <v>15000</v>
      </c>
      <c r="O130" s="405">
        <f t="shared" si="52"/>
        <v>154758</v>
      </c>
      <c r="P130" s="496">
        <v>210000</v>
      </c>
      <c r="Q130" s="114">
        <f t="shared" si="37"/>
        <v>0</v>
      </c>
    </row>
    <row r="131" spans="1:17" ht="13.5" thickBot="1" x14ac:dyDescent="0.25">
      <c r="A131" s="978"/>
      <c r="B131" s="1019"/>
      <c r="C131" s="1026" t="s">
        <v>474</v>
      </c>
      <c r="D131" s="1027"/>
      <c r="E131" s="1028"/>
      <c r="F131" s="277"/>
      <c r="G131" s="97">
        <f>G121+1</f>
        <v>86</v>
      </c>
      <c r="H131" s="426">
        <f>a.4.Timisoara!I131+a.4.Loc.TM!I131+a.4.Deta!I131+a.4.Jimbolia!I131+a.4.Sannicolau!I131+a.4.Faget!I131+a.4.Buzias!I131</f>
        <v>46664439.328879997</v>
      </c>
      <c r="I131" s="426">
        <f>a.4.Timisoara!J131+a.4.Loc.TM!J131+a.4.Deta!J131+a.4.Jimbolia!J131+a.4.Sannicolau!J131+a.4.Faget!J131+a.4.Buzias!J131</f>
        <v>9915835.8945199978</v>
      </c>
      <c r="J131" s="426">
        <f>a.4.Timisoara!K131+a.4.Loc.TM!K131+a.4.Deta!K131+a.4.Jimbolia!K131+a.4.Sannicolau!K131+a.4.Faget!K131+a.4.Buzias!K131</f>
        <v>14137747.13534</v>
      </c>
      <c r="K131" s="426">
        <f>a.4.Timisoara!L131+a.4.Loc.TM!L131+a.4.Deta!L131+a.4.Jimbolia!L131+a.4.Sannicolau!L131+a.4.Faget!L131+a.4.Buzias!L131</f>
        <v>10649609.98608</v>
      </c>
      <c r="L131" s="426">
        <f>a.4.Timisoara!M131+a.4.Loc.TM!M131+a.4.Deta!M131+a.4.Jimbolia!M131+a.4.Sannicolau!M131+a.4.Faget!M131+a.4.Buzias!M131</f>
        <v>11961246.31294</v>
      </c>
      <c r="M131" s="424">
        <f t="shared" ref="M131:O131" si="53">M133+M137+M145+M149+M158</f>
        <v>39063954</v>
      </c>
      <c r="N131" s="424">
        <f t="shared" ref="N131" si="54">N133+N137+N145+N149+N158</f>
        <v>5766166.6345199998</v>
      </c>
      <c r="O131" s="424">
        <f t="shared" si="53"/>
        <v>44830120.634520002</v>
      </c>
      <c r="P131" s="427">
        <v>46664439.328879997</v>
      </c>
      <c r="Q131" s="114">
        <f t="shared" si="37"/>
        <v>0</v>
      </c>
    </row>
    <row r="132" spans="1:17" ht="13.5" thickBot="1" x14ac:dyDescent="0.25">
      <c r="A132" s="978"/>
      <c r="B132" s="1019"/>
      <c r="C132" s="306" t="s">
        <v>396</v>
      </c>
      <c r="D132" s="1033" t="s">
        <v>413</v>
      </c>
      <c r="E132" s="1034"/>
      <c r="F132" s="307">
        <v>641</v>
      </c>
      <c r="G132" s="308">
        <f t="shared" si="38"/>
        <v>87</v>
      </c>
      <c r="H132" s="437">
        <f>a.4.Timisoara!I132+a.4.Loc.TM!I132+a.4.Deta!I132+a.4.Jimbolia!I132+a.4.Sannicolau!I132+a.4.Faget!I132+a.4.Buzias!I132</f>
        <v>37486212</v>
      </c>
      <c r="I132" s="437">
        <f>a.4.Timisoara!J132+a.4.Loc.TM!J132+a.4.Deta!J132+a.4.Jimbolia!J132+a.4.Sannicolau!J132+a.4.Faget!J132+a.4.Buzias!J132</f>
        <v>7944947</v>
      </c>
      <c r="J132" s="437">
        <f>a.4.Timisoara!K132+a.4.Loc.TM!K132+a.4.Deta!K132+a.4.Jimbolia!K132+a.4.Sannicolau!K132+a.4.Faget!K132+a.4.Buzias!K132</f>
        <v>11369711</v>
      </c>
      <c r="K132" s="437">
        <f>a.4.Timisoara!L132+a.4.Loc.TM!L132+a.4.Deta!L132+a.4.Jimbolia!L132+a.4.Sannicolau!L132+a.4.Faget!L132+a.4.Buzias!L132</f>
        <v>8533784</v>
      </c>
      <c r="L132" s="437">
        <f>a.4.Timisoara!M132+a.4.Loc.TM!M132+a.4.Deta!M132+a.4.Jimbolia!M132+a.4.Sannicolau!M132+a.4.Faget!M132+a.4.Buzias!M132</f>
        <v>9637770</v>
      </c>
      <c r="M132" s="433">
        <f t="shared" ref="M132:O132" si="55">M133+M137</f>
        <v>30697244</v>
      </c>
      <c r="N132" s="433">
        <f t="shared" ref="N132" si="56">N133+N137</f>
        <v>4638642</v>
      </c>
      <c r="O132" s="433">
        <f t="shared" si="55"/>
        <v>35335886</v>
      </c>
      <c r="P132" s="438">
        <v>37486212</v>
      </c>
      <c r="Q132" s="114">
        <f t="shared" si="37"/>
        <v>0</v>
      </c>
    </row>
    <row r="133" spans="1:17" ht="13.5" thickBot="1" x14ac:dyDescent="0.25">
      <c r="A133" s="978"/>
      <c r="B133" s="1019"/>
      <c r="C133" s="293" t="s">
        <v>46</v>
      </c>
      <c r="D133" s="1026" t="s">
        <v>189</v>
      </c>
      <c r="E133" s="1028"/>
      <c r="F133" s="277">
        <v>641</v>
      </c>
      <c r="G133" s="97">
        <f t="shared" si="38"/>
        <v>88</v>
      </c>
      <c r="H133" s="426">
        <f>a.4.Timisoara!I133+a.4.Loc.TM!I133+a.4.Deta!I133+a.4.Jimbolia!I133+a.4.Sannicolau!I133+a.4.Faget!I133+a.4.Buzias!I133</f>
        <v>32620337</v>
      </c>
      <c r="I133" s="426">
        <f>a.4.Timisoara!J133+a.4.Loc.TM!J133+a.4.Deta!J133+a.4.Jimbolia!J133+a.4.Sannicolau!J133+a.4.Faget!J133+a.4.Buzias!J133</f>
        <v>7454673</v>
      </c>
      <c r="J133" s="426">
        <f>a.4.Timisoara!K133+a.4.Loc.TM!K133+a.4.Deta!K133+a.4.Jimbolia!K133+a.4.Sannicolau!K133+a.4.Faget!K133+a.4.Buzias!K133</f>
        <v>8091136</v>
      </c>
      <c r="K133" s="426">
        <f>a.4.Timisoara!L133+a.4.Loc.TM!L133+a.4.Deta!L133+a.4.Jimbolia!L133+a.4.Sannicolau!L133+a.4.Faget!L133+a.4.Buzias!L133</f>
        <v>8068127</v>
      </c>
      <c r="L133" s="426">
        <f>a.4.Timisoara!M133+a.4.Loc.TM!M133+a.4.Deta!M133+a.4.Jimbolia!M133+a.4.Sannicolau!M133+a.4.Faget!M133+a.4.Buzias!M133</f>
        <v>9006401</v>
      </c>
      <c r="M133" s="424">
        <f t="shared" ref="M133:O133" si="57">M134+M135+M136</f>
        <v>26384661</v>
      </c>
      <c r="N133" s="424">
        <f t="shared" ref="N133" si="58">N134+N135+N136</f>
        <v>4429317</v>
      </c>
      <c r="O133" s="424">
        <f t="shared" si="57"/>
        <v>30813978</v>
      </c>
      <c r="P133" s="427">
        <v>32620337</v>
      </c>
      <c r="Q133" s="114">
        <f t="shared" si="37"/>
        <v>0</v>
      </c>
    </row>
    <row r="134" spans="1:17" ht="13.5" thickBot="1" x14ac:dyDescent="0.25">
      <c r="A134" s="978"/>
      <c r="B134" s="1019"/>
      <c r="C134" s="1018"/>
      <c r="D134" s="973" t="s">
        <v>190</v>
      </c>
      <c r="E134" s="974"/>
      <c r="F134" s="275">
        <v>641</v>
      </c>
      <c r="G134" s="84">
        <f t="shared" si="38"/>
        <v>89</v>
      </c>
      <c r="H134" s="432">
        <f>a.4.Timisoara!I134+a.4.Loc.TM!I134+a.4.Deta!I134+a.4.Jimbolia!I134+a.4.Sannicolau!I134+a.4.Faget!I134+a.4.Buzias!I134</f>
        <v>28053832</v>
      </c>
      <c r="I134" s="432">
        <f>a.4.Timisoara!J134+a.4.Loc.TM!J134+a.4.Deta!J134+a.4.Jimbolia!J134+a.4.Sannicolau!J134+a.4.Faget!J134+a.4.Buzias!J134</f>
        <v>6883540</v>
      </c>
      <c r="J134" s="432">
        <f>a.4.Timisoara!K134+a.4.Loc.TM!K134+a.4.Deta!K134+a.4.Jimbolia!K134+a.4.Sannicolau!K134+a.4.Faget!K134+a.4.Buzias!K134</f>
        <v>6953490</v>
      </c>
      <c r="K134" s="432">
        <f>a.4.Timisoara!L134+a.4.Loc.TM!L134+a.4.Deta!L134+a.4.Jimbolia!L134+a.4.Sannicolau!L134+a.4.Faget!L134+a.4.Buzias!L134</f>
        <v>7006950</v>
      </c>
      <c r="L134" s="432">
        <f>a.4.Timisoara!M134+a.4.Loc.TM!M134+a.4.Deta!M134+a.4.Jimbolia!M134+a.4.Sannicolau!M134+a.4.Faget!M134+a.4.Buzias!M134</f>
        <v>7209852</v>
      </c>
      <c r="M134" s="405">
        <f>26384661-M135-M136</f>
        <v>22951108</v>
      </c>
      <c r="N134" s="405">
        <f>O134-M134</f>
        <v>2208158</v>
      </c>
      <c r="O134" s="405">
        <v>25159266</v>
      </c>
      <c r="P134" s="496">
        <v>28053832</v>
      </c>
      <c r="Q134" s="114">
        <f t="shared" si="37"/>
        <v>0</v>
      </c>
    </row>
    <row r="135" spans="1:17" ht="21" customHeight="1" thickBot="1" x14ac:dyDescent="0.25">
      <c r="A135" s="978"/>
      <c r="B135" s="1019"/>
      <c r="C135" s="1019"/>
      <c r="D135" s="973" t="s">
        <v>191</v>
      </c>
      <c r="E135" s="974"/>
      <c r="F135" s="275"/>
      <c r="G135" s="84">
        <f t="shared" si="38"/>
        <v>90</v>
      </c>
      <c r="H135" s="432">
        <f>a.4.Timisoara!I135+a.4.Loc.TM!I135+a.4.Deta!I135+a.4.Jimbolia!I135+a.4.Sannicolau!I135+a.4.Faget!I135+a.4.Buzias!I135</f>
        <v>1438572</v>
      </c>
      <c r="I135" s="432">
        <f>a.4.Timisoara!J135+a.4.Loc.TM!J135+a.4.Deta!J135+a.4.Jimbolia!J135+a.4.Sannicolau!J135+a.4.Faget!J135+a.4.Buzias!J135</f>
        <v>352762</v>
      </c>
      <c r="J135" s="432">
        <f>a.4.Timisoara!K135+a.4.Loc.TM!K135+a.4.Deta!K135+a.4.Jimbolia!K135+a.4.Sannicolau!K135+a.4.Faget!K135+a.4.Buzias!K135</f>
        <v>356846</v>
      </c>
      <c r="K135" s="432">
        <f>a.4.Timisoara!L135+a.4.Loc.TM!L135+a.4.Deta!L135+a.4.Jimbolia!L135+a.4.Sannicolau!L135+a.4.Faget!L135+a.4.Buzias!L135</f>
        <v>359382</v>
      </c>
      <c r="L135" s="432">
        <f>a.4.Timisoara!M135+a.4.Loc.TM!M135+a.4.Deta!M135+a.4.Jimbolia!M135+a.4.Sannicolau!M135+a.4.Faget!M135+a.4.Buzias!M135</f>
        <v>369582</v>
      </c>
      <c r="M135" s="405">
        <f>O135-N135</f>
        <v>1138046</v>
      </c>
      <c r="N135" s="405">
        <v>156499</v>
      </c>
      <c r="O135" s="405">
        <v>1294545</v>
      </c>
      <c r="P135" s="496">
        <v>1438572</v>
      </c>
      <c r="Q135" s="114">
        <f t="shared" si="37"/>
        <v>0</v>
      </c>
    </row>
    <row r="136" spans="1:17" ht="13.5" thickBot="1" x14ac:dyDescent="0.25">
      <c r="A136" s="978"/>
      <c r="B136" s="1019"/>
      <c r="C136" s="1020"/>
      <c r="D136" s="973" t="s">
        <v>192</v>
      </c>
      <c r="E136" s="974"/>
      <c r="F136" s="275"/>
      <c r="G136" s="84">
        <f t="shared" si="38"/>
        <v>91</v>
      </c>
      <c r="H136" s="432">
        <f>a.4.Timisoara!I136+a.4.Loc.TM!I136+a.4.Deta!I136+a.4.Jimbolia!I136+a.4.Sannicolau!I136+a.4.Faget!I136+a.4.Buzias!I136</f>
        <v>3127933</v>
      </c>
      <c r="I136" s="432">
        <f>a.4.Timisoara!J136+a.4.Loc.TM!J136+a.4.Deta!J136+a.4.Jimbolia!J136+a.4.Sannicolau!J136+a.4.Faget!J136+a.4.Buzias!J136</f>
        <v>218371</v>
      </c>
      <c r="J136" s="432">
        <f>a.4.Timisoara!K136+a.4.Loc.TM!K136+a.4.Deta!K136+a.4.Jimbolia!K136+a.4.Sannicolau!K136+a.4.Faget!K136+a.4.Buzias!K136</f>
        <v>780800</v>
      </c>
      <c r="K136" s="432">
        <f>a.4.Timisoara!L136+a.4.Loc.TM!L136+a.4.Deta!L136+a.4.Jimbolia!L136+a.4.Sannicolau!L136+a.4.Faget!L136+a.4.Buzias!L136</f>
        <v>701795</v>
      </c>
      <c r="L136" s="432">
        <f>a.4.Timisoara!M136+a.4.Loc.TM!M136+a.4.Deta!M136+a.4.Jimbolia!M136+a.4.Sannicolau!M136+a.4.Faget!M136+a.4.Buzias!M136</f>
        <v>1426967</v>
      </c>
      <c r="M136" s="405">
        <f>O136-N136</f>
        <v>2295507</v>
      </c>
      <c r="N136" s="405">
        <v>2064660</v>
      </c>
      <c r="O136" s="405">
        <v>4360167</v>
      </c>
      <c r="P136" s="496">
        <v>3127933</v>
      </c>
      <c r="Q136" s="114">
        <f t="shared" si="37"/>
        <v>0</v>
      </c>
    </row>
    <row r="137" spans="1:17" ht="13.5" thickBot="1" x14ac:dyDescent="0.25">
      <c r="A137" s="978"/>
      <c r="B137" s="1019"/>
      <c r="C137" s="293" t="s">
        <v>67</v>
      </c>
      <c r="D137" s="1026" t="s">
        <v>389</v>
      </c>
      <c r="E137" s="1028"/>
      <c r="F137" s="277"/>
      <c r="G137" s="97">
        <f t="shared" si="38"/>
        <v>92</v>
      </c>
      <c r="H137" s="426">
        <f>a.4.Timisoara!I137+a.4.Loc.TM!I137+a.4.Deta!I137+a.4.Jimbolia!I137+a.4.Sannicolau!I137+a.4.Faget!I137+a.4.Buzias!I137</f>
        <v>4865875</v>
      </c>
      <c r="I137" s="426">
        <f>a.4.Timisoara!J137+a.4.Loc.TM!J137+a.4.Deta!J137+a.4.Jimbolia!J137+a.4.Sannicolau!J137+a.4.Faget!J137+a.4.Buzias!J137</f>
        <v>490274</v>
      </c>
      <c r="J137" s="426">
        <f>a.4.Timisoara!K137+a.4.Loc.TM!K137+a.4.Deta!K137+a.4.Jimbolia!K137+a.4.Sannicolau!K137+a.4.Faget!K137+a.4.Buzias!K137</f>
        <v>3278575</v>
      </c>
      <c r="K137" s="426">
        <f>a.4.Timisoara!L137+a.4.Loc.TM!L137+a.4.Deta!L137+a.4.Jimbolia!L137+a.4.Sannicolau!L137+a.4.Faget!L137+a.4.Buzias!L137</f>
        <v>465657</v>
      </c>
      <c r="L137" s="426">
        <f>a.4.Timisoara!M137+a.4.Loc.TM!M137+a.4.Deta!M137+a.4.Jimbolia!M137+a.4.Sannicolau!M137+a.4.Faget!M137+a.4.Buzias!M137</f>
        <v>631369</v>
      </c>
      <c r="M137" s="424">
        <f t="shared" ref="M137:O137" si="59">M138+M141+M142+M143+M144</f>
        <v>4312583</v>
      </c>
      <c r="N137" s="424">
        <f t="shared" ref="N137" si="60">N138+N141+N142+N143+N144</f>
        <v>209325</v>
      </c>
      <c r="O137" s="424">
        <f t="shared" si="59"/>
        <v>4521908</v>
      </c>
      <c r="P137" s="427">
        <v>4865875</v>
      </c>
      <c r="Q137" s="114">
        <f t="shared" si="37"/>
        <v>0</v>
      </c>
    </row>
    <row r="138" spans="1:17" ht="36" customHeight="1" thickBot="1" x14ac:dyDescent="0.25">
      <c r="A138" s="978"/>
      <c r="B138" s="1019"/>
      <c r="C138" s="71"/>
      <c r="D138" s="973" t="s">
        <v>187</v>
      </c>
      <c r="E138" s="974"/>
      <c r="F138" s="275">
        <v>6458</v>
      </c>
      <c r="G138" s="84">
        <f t="shared" si="38"/>
        <v>93</v>
      </c>
      <c r="H138" s="432">
        <f>a.4.Timisoara!I138+a.4.Loc.TM!I138+a.4.Deta!I138+a.4.Jimbolia!I138+a.4.Sannicolau!I138+a.4.Faget!I138+a.4.Buzias!I138</f>
        <v>604900</v>
      </c>
      <c r="I138" s="432">
        <f>a.4.Timisoara!J138+a.4.Loc.TM!J138+a.4.Deta!J138+a.4.Jimbolia!J138+a.4.Sannicolau!J138+a.4.Faget!J138+a.4.Buzias!J138</f>
        <v>41100</v>
      </c>
      <c r="J138" s="432">
        <f>a.4.Timisoara!K138+a.4.Loc.TM!K138+a.4.Deta!K138+a.4.Jimbolia!K138+a.4.Sannicolau!K138+a.4.Faget!K138+a.4.Buzias!K138</f>
        <v>425000</v>
      </c>
      <c r="K138" s="432">
        <f>a.4.Timisoara!L138+a.4.Loc.TM!L138+a.4.Deta!L138+a.4.Jimbolia!L138+a.4.Sannicolau!L138+a.4.Faget!L138+a.4.Buzias!L138</f>
        <v>69900</v>
      </c>
      <c r="L138" s="432">
        <f>a.4.Timisoara!M138+a.4.Loc.TM!M138+a.4.Deta!M138+a.4.Jimbolia!M138+a.4.Sannicolau!M138+a.4.Faget!M138+a.4.Buzias!M138</f>
        <v>68900</v>
      </c>
      <c r="M138" s="405">
        <f>176426+M140</f>
        <v>537886</v>
      </c>
      <c r="N138" s="405">
        <v>84250</v>
      </c>
      <c r="O138" s="405">
        <f>SUM(M138:N138)</f>
        <v>622136</v>
      </c>
      <c r="P138" s="496">
        <v>604900</v>
      </c>
      <c r="Q138" s="114">
        <f t="shared" si="37"/>
        <v>0</v>
      </c>
    </row>
    <row r="139" spans="1:17" ht="30.75" customHeight="1" thickBot="1" x14ac:dyDescent="0.25">
      <c r="A139" s="978"/>
      <c r="B139" s="1019"/>
      <c r="C139" s="71"/>
      <c r="D139" s="71"/>
      <c r="E139" s="71" t="s">
        <v>193</v>
      </c>
      <c r="F139" s="86"/>
      <c r="G139" s="84">
        <f t="shared" si="38"/>
        <v>94</v>
      </c>
      <c r="H139" s="432">
        <f>a.4.Timisoara!I139+a.4.Loc.TM!I139+a.4.Deta!I139+a.4.Jimbolia!I139+a.4.Sannicolau!I139+a.4.Faget!I139+a.4.Buzias!I139</f>
        <v>0</v>
      </c>
      <c r="I139" s="432">
        <f>a.4.Timisoara!J139+a.4.Loc.TM!J139+a.4.Deta!J139+a.4.Jimbolia!J139+a.4.Sannicolau!J139+a.4.Faget!J139+a.4.Buzias!J139</f>
        <v>0</v>
      </c>
      <c r="J139" s="432">
        <f>a.4.Timisoara!K139+a.4.Loc.TM!K139+a.4.Deta!K139+a.4.Jimbolia!K139+a.4.Sannicolau!K139+a.4.Faget!K139+a.4.Buzias!K139</f>
        <v>0</v>
      </c>
      <c r="K139" s="432">
        <f>a.4.Timisoara!L139+a.4.Loc.TM!L139+a.4.Deta!L139+a.4.Jimbolia!L139+a.4.Sannicolau!L139+a.4.Faget!L139+a.4.Buzias!L139</f>
        <v>0</v>
      </c>
      <c r="L139" s="432">
        <f>a.4.Timisoara!M139+a.4.Loc.TM!M139+a.4.Deta!M139+a.4.Jimbolia!M139+a.4.Sannicolau!M139+a.4.Faget!M139+a.4.Buzias!M139</f>
        <v>0</v>
      </c>
      <c r="M139" s="405"/>
      <c r="N139" s="405"/>
      <c r="O139" s="405">
        <f>SUM(M139:N139)</f>
        <v>0</v>
      </c>
      <c r="P139" s="496">
        <v>0</v>
      </c>
      <c r="Q139" s="114">
        <f t="shared" ref="Q139:Q199" si="61">H139-P139</f>
        <v>0</v>
      </c>
    </row>
    <row r="140" spans="1:17" ht="30.75" customHeight="1" thickBot="1" x14ac:dyDescent="0.25">
      <c r="A140" s="978"/>
      <c r="B140" s="1019"/>
      <c r="C140" s="71"/>
      <c r="D140" s="71"/>
      <c r="E140" s="71" t="s">
        <v>194</v>
      </c>
      <c r="F140" s="86" t="s">
        <v>648</v>
      </c>
      <c r="G140" s="84">
        <f t="shared" si="38"/>
        <v>95</v>
      </c>
      <c r="H140" s="432">
        <f>a.4.Timisoara!I140+a.4.Loc.TM!I140+a.4.Deta!I140+a.4.Jimbolia!I140+a.4.Sannicolau!I140+a.4.Faget!I140+a.4.Buzias!I140</f>
        <v>378400</v>
      </c>
      <c r="I140" s="432">
        <f>a.4.Timisoara!J140+a.4.Loc.TM!J140+a.4.Deta!J140+a.4.Jimbolia!J140+a.4.Sannicolau!J140+a.4.Faget!J140+a.4.Buzias!J140</f>
        <v>0</v>
      </c>
      <c r="J140" s="432">
        <f>a.4.Timisoara!K140+a.4.Loc.TM!K140+a.4.Deta!K140+a.4.Jimbolia!K140+a.4.Sannicolau!K140+a.4.Faget!K140+a.4.Buzias!K140</f>
        <v>378400</v>
      </c>
      <c r="K140" s="432">
        <f>a.4.Timisoara!L140+a.4.Loc.TM!L140+a.4.Deta!L140+a.4.Jimbolia!L140+a.4.Sannicolau!L140+a.4.Faget!L140+a.4.Buzias!L140</f>
        <v>0</v>
      </c>
      <c r="L140" s="432">
        <f>a.4.Timisoara!M140+a.4.Loc.TM!M140+a.4.Deta!M140+a.4.Jimbolia!M140+a.4.Sannicolau!M140+a.4.Faget!M140+a.4.Buzias!M140</f>
        <v>0</v>
      </c>
      <c r="M140" s="405">
        <v>361460</v>
      </c>
      <c r="N140" s="405"/>
      <c r="O140" s="405">
        <v>361460</v>
      </c>
      <c r="P140" s="496">
        <v>378400</v>
      </c>
      <c r="Q140" s="114">
        <f t="shared" si="61"/>
        <v>0</v>
      </c>
    </row>
    <row r="141" spans="1:17" ht="13.5" thickBot="1" x14ac:dyDescent="0.25">
      <c r="A141" s="978"/>
      <c r="B141" s="1019"/>
      <c r="C141" s="71"/>
      <c r="D141" s="973" t="s">
        <v>74</v>
      </c>
      <c r="E141" s="974"/>
      <c r="F141" s="275" t="s">
        <v>649</v>
      </c>
      <c r="G141" s="84">
        <f t="shared" ref="G141:G175" si="62">G140+1</f>
        <v>96</v>
      </c>
      <c r="H141" s="432">
        <f>a.4.Timisoara!I141+a.4.Loc.TM!I141+a.4.Deta!I141+a.4.Jimbolia!I141+a.4.Sannicolau!I141+a.4.Faget!I141+a.4.Buzias!I141</f>
        <v>1960975</v>
      </c>
      <c r="I141" s="432">
        <f>a.4.Timisoara!J141+a.4.Loc.TM!J141+a.4.Deta!J141+a.4.Jimbolia!J141+a.4.Sannicolau!J141+a.4.Faget!J141+a.4.Buzias!J141</f>
        <v>449174</v>
      </c>
      <c r="J141" s="432">
        <f>a.4.Timisoara!K141+a.4.Loc.TM!K141+a.4.Deta!K141+a.4.Jimbolia!K141+a.4.Sannicolau!K141+a.4.Faget!K141+a.4.Buzias!K141</f>
        <v>553575</v>
      </c>
      <c r="K141" s="432">
        <f>a.4.Timisoara!L141+a.4.Loc.TM!L141+a.4.Deta!L141+a.4.Jimbolia!L141+a.4.Sannicolau!L141+a.4.Faget!L141+a.4.Buzias!L141</f>
        <v>395757</v>
      </c>
      <c r="L141" s="432">
        <f>a.4.Timisoara!M141+a.4.Loc.TM!M141+a.4.Deta!M141+a.4.Jimbolia!M141+a.4.Sannicolau!M141+a.4.Faget!M141+a.4.Buzias!M141</f>
        <v>562469</v>
      </c>
      <c r="M141" s="405">
        <v>1674697</v>
      </c>
      <c r="N141" s="405">
        <v>125075</v>
      </c>
      <c r="O141" s="405">
        <f>SUM(M141:N141)</f>
        <v>1799772</v>
      </c>
      <c r="P141" s="496">
        <v>1960975</v>
      </c>
      <c r="Q141" s="114">
        <f t="shared" si="61"/>
        <v>0</v>
      </c>
    </row>
    <row r="142" spans="1:17" ht="13.5" thickBot="1" x14ac:dyDescent="0.25">
      <c r="A142" s="978"/>
      <c r="B142" s="1019"/>
      <c r="C142" s="71"/>
      <c r="D142" s="973" t="s">
        <v>195</v>
      </c>
      <c r="E142" s="974"/>
      <c r="F142" s="275"/>
      <c r="G142" s="84">
        <f t="shared" si="62"/>
        <v>97</v>
      </c>
      <c r="H142" s="432">
        <f>a.4.Timisoara!I142+a.4.Loc.TM!I142+a.4.Deta!I142+a.4.Jimbolia!I142+a.4.Sannicolau!I142+a.4.Faget!I142+a.4.Buzias!I142</f>
        <v>0</v>
      </c>
      <c r="I142" s="432">
        <f>a.4.Timisoara!J142+a.4.Loc.TM!J142+a.4.Deta!J142+a.4.Jimbolia!J142+a.4.Sannicolau!J142+a.4.Faget!J142+a.4.Buzias!J142</f>
        <v>0</v>
      </c>
      <c r="J142" s="432">
        <f>a.4.Timisoara!K142+a.4.Loc.TM!K142+a.4.Deta!K142+a.4.Jimbolia!K142+a.4.Sannicolau!K142+a.4.Faget!K142+a.4.Buzias!K142</f>
        <v>0</v>
      </c>
      <c r="K142" s="432">
        <f>a.4.Timisoara!L142+a.4.Loc.TM!L142+a.4.Deta!L142+a.4.Jimbolia!L142+a.4.Sannicolau!L142+a.4.Faget!L142+a.4.Buzias!L142</f>
        <v>0</v>
      </c>
      <c r="L142" s="432">
        <f>a.4.Timisoara!M142+a.4.Loc.TM!M142+a.4.Deta!M142+a.4.Jimbolia!M142+a.4.Sannicolau!M142+a.4.Faget!M142+a.4.Buzias!M142</f>
        <v>0</v>
      </c>
      <c r="M142" s="405"/>
      <c r="N142" s="405"/>
      <c r="O142" s="405">
        <f>SUM(M142:N142)</f>
        <v>0</v>
      </c>
      <c r="P142" s="496">
        <v>0</v>
      </c>
      <c r="Q142" s="114">
        <f t="shared" si="61"/>
        <v>0</v>
      </c>
    </row>
    <row r="143" spans="1:17" ht="27" customHeight="1" thickBot="1" x14ac:dyDescent="0.25">
      <c r="A143" s="978"/>
      <c r="B143" s="1019"/>
      <c r="C143" s="71"/>
      <c r="D143" s="973" t="s">
        <v>390</v>
      </c>
      <c r="E143" s="974"/>
      <c r="F143" s="275">
        <v>643</v>
      </c>
      <c r="G143" s="84">
        <f t="shared" si="62"/>
        <v>98</v>
      </c>
      <c r="H143" s="432">
        <f>a.4.Timisoara!I143+a.4.Loc.TM!I143+a.4.Deta!I143+a.4.Jimbolia!I143+a.4.Sannicolau!I143+a.4.Faget!I143+a.4.Buzias!I143</f>
        <v>2300000</v>
      </c>
      <c r="I143" s="432">
        <f>a.4.Timisoara!J143+a.4.Loc.TM!J143+a.4.Deta!J143+a.4.Jimbolia!J143+a.4.Sannicolau!J143+a.4.Faget!J143+a.4.Buzias!J143</f>
        <v>0</v>
      </c>
      <c r="J143" s="432">
        <f>a.4.Timisoara!K143+a.4.Loc.TM!K143+a.4.Deta!K143+a.4.Jimbolia!K143+a.4.Sannicolau!K143+a.4.Faget!K143+a.4.Buzias!K143</f>
        <v>2300000</v>
      </c>
      <c r="K143" s="432">
        <f>a.4.Timisoara!L143+a.4.Loc.TM!L143+a.4.Deta!L143+a.4.Jimbolia!L143+a.4.Sannicolau!L143+a.4.Faget!L143+a.4.Buzias!L143</f>
        <v>0</v>
      </c>
      <c r="L143" s="432">
        <f>a.4.Timisoara!M143+a.4.Loc.TM!M143+a.4.Deta!M143+a.4.Jimbolia!M143+a.4.Sannicolau!M143+a.4.Faget!M143+a.4.Buzias!M143</f>
        <v>0</v>
      </c>
      <c r="M143" s="432">
        <v>2100000</v>
      </c>
      <c r="N143" s="405"/>
      <c r="O143" s="405">
        <v>2100000</v>
      </c>
      <c r="P143" s="496">
        <v>2300000</v>
      </c>
      <c r="Q143" s="114">
        <f t="shared" si="61"/>
        <v>0</v>
      </c>
    </row>
    <row r="144" spans="1:17" ht="21.75" customHeight="1" thickBot="1" x14ac:dyDescent="0.25">
      <c r="A144" s="978"/>
      <c r="B144" s="1019"/>
      <c r="C144" s="71"/>
      <c r="D144" s="973" t="s">
        <v>196</v>
      </c>
      <c r="E144" s="974"/>
      <c r="F144" s="275"/>
      <c r="G144" s="84">
        <f t="shared" si="62"/>
        <v>99</v>
      </c>
      <c r="H144" s="432">
        <f>a.4.Timisoara!I144+a.4.Loc.TM!I144+a.4.Deta!I144+a.4.Jimbolia!I144+a.4.Sannicolau!I144+a.4.Faget!I144+a.4.Buzias!I144</f>
        <v>0</v>
      </c>
      <c r="I144" s="432">
        <f>a.4.Timisoara!J144+a.4.Loc.TM!J144+a.4.Deta!J144+a.4.Jimbolia!J144+a.4.Sannicolau!J144+a.4.Faget!J144+a.4.Buzias!J144</f>
        <v>0</v>
      </c>
      <c r="J144" s="432">
        <f>a.4.Timisoara!K144+a.4.Loc.TM!K144+a.4.Deta!K144+a.4.Jimbolia!K144+a.4.Sannicolau!K144+a.4.Faget!K144+a.4.Buzias!K144</f>
        <v>0</v>
      </c>
      <c r="K144" s="432">
        <f>a.4.Timisoara!L144+a.4.Loc.TM!L144+a.4.Deta!L144+a.4.Jimbolia!L144+a.4.Sannicolau!L144+a.4.Faget!L144+a.4.Buzias!L144</f>
        <v>0</v>
      </c>
      <c r="L144" s="432">
        <f>a.4.Timisoara!M144+a.4.Loc.TM!M144+a.4.Deta!M144+a.4.Jimbolia!M144+a.4.Sannicolau!M144+a.4.Faget!M144+a.4.Buzias!M144</f>
        <v>0</v>
      </c>
      <c r="M144" s="405"/>
      <c r="N144" s="405"/>
      <c r="O144" s="405">
        <f>SUM(M144:N144)</f>
        <v>0</v>
      </c>
      <c r="P144" s="496">
        <v>0</v>
      </c>
      <c r="Q144" s="114">
        <f t="shared" si="61"/>
        <v>0</v>
      </c>
    </row>
    <row r="145" spans="1:17" ht="21.75" customHeight="1" thickBot="1" x14ac:dyDescent="0.25">
      <c r="A145" s="978"/>
      <c r="B145" s="1019"/>
      <c r="C145" s="293" t="s">
        <v>124</v>
      </c>
      <c r="D145" s="1026" t="s">
        <v>197</v>
      </c>
      <c r="E145" s="1028"/>
      <c r="F145" s="277"/>
      <c r="G145" s="97">
        <f t="shared" si="62"/>
        <v>100</v>
      </c>
      <c r="H145" s="432">
        <f>a.4.Timisoara!I145+a.4.Loc.TM!I145+a.4.Deta!I145+a.4.Jimbolia!I145+a.4.Sannicolau!I145+a.4.Faget!I145+a.4.Buzias!I145</f>
        <v>0</v>
      </c>
      <c r="I145" s="432">
        <f>a.4.Timisoara!J145+a.4.Loc.TM!J145+a.4.Deta!J145+a.4.Jimbolia!J145+a.4.Sannicolau!J145+a.4.Faget!J145+a.4.Buzias!J145</f>
        <v>0</v>
      </c>
      <c r="J145" s="432">
        <f>a.4.Timisoara!K145+a.4.Loc.TM!K145+a.4.Deta!K145+a.4.Jimbolia!K145+a.4.Sannicolau!K145+a.4.Faget!K145+a.4.Buzias!K145</f>
        <v>0</v>
      </c>
      <c r="K145" s="432">
        <f>a.4.Timisoara!L145+a.4.Loc.TM!L145+a.4.Deta!L145+a.4.Jimbolia!L145+a.4.Sannicolau!L145+a.4.Faget!L145+a.4.Buzias!L145</f>
        <v>0</v>
      </c>
      <c r="L145" s="432">
        <f>a.4.Timisoara!M145+a.4.Loc.TM!M145+a.4.Deta!M145+a.4.Jimbolia!M145+a.4.Sannicolau!M145+a.4.Faget!M145+a.4.Buzias!M145</f>
        <v>0</v>
      </c>
      <c r="M145" s="424">
        <f t="shared" ref="M145:O145" si="63">M146+M147+M148</f>
        <v>0</v>
      </c>
      <c r="N145" s="424">
        <f t="shared" ref="N145" si="64">N146+N147+N148</f>
        <v>0</v>
      </c>
      <c r="O145" s="424">
        <f t="shared" si="63"/>
        <v>0</v>
      </c>
      <c r="P145" s="496">
        <v>0</v>
      </c>
      <c r="Q145" s="114">
        <f t="shared" si="61"/>
        <v>0</v>
      </c>
    </row>
    <row r="146" spans="1:17" ht="29.25" customHeight="1" thickBot="1" x14ac:dyDescent="0.25">
      <c r="A146" s="978"/>
      <c r="B146" s="1019"/>
      <c r="C146" s="71"/>
      <c r="D146" s="973" t="s">
        <v>198</v>
      </c>
      <c r="E146" s="974"/>
      <c r="F146" s="275" t="s">
        <v>22</v>
      </c>
      <c r="G146" s="84">
        <f t="shared" si="62"/>
        <v>101</v>
      </c>
      <c r="H146" s="432">
        <f>a.4.Timisoara!I146+a.4.Loc.TM!I146+a.4.Deta!I146+a.4.Jimbolia!I146+a.4.Sannicolau!I146+a.4.Faget!I146+a.4.Buzias!I146</f>
        <v>0</v>
      </c>
      <c r="I146" s="432">
        <f>a.4.Timisoara!J146+a.4.Loc.TM!J146+a.4.Deta!J146+a.4.Jimbolia!J146+a.4.Sannicolau!J146+a.4.Faget!J146+a.4.Buzias!J146</f>
        <v>0</v>
      </c>
      <c r="J146" s="432">
        <f>a.4.Timisoara!K146+a.4.Loc.TM!K146+a.4.Deta!K146+a.4.Jimbolia!K146+a.4.Sannicolau!K146+a.4.Faget!K146+a.4.Buzias!K146</f>
        <v>0</v>
      </c>
      <c r="K146" s="432">
        <f>a.4.Timisoara!L146+a.4.Loc.TM!L146+a.4.Deta!L146+a.4.Jimbolia!L146+a.4.Sannicolau!L146+a.4.Faget!L146+a.4.Buzias!L146</f>
        <v>0</v>
      </c>
      <c r="L146" s="432">
        <f>a.4.Timisoara!M146+a.4.Loc.TM!M146+a.4.Deta!M146+a.4.Jimbolia!M146+a.4.Sannicolau!M146+a.4.Faget!M146+a.4.Buzias!M146</f>
        <v>0</v>
      </c>
      <c r="M146" s="405">
        <v>0</v>
      </c>
      <c r="N146" s="405">
        <v>0</v>
      </c>
      <c r="O146" s="405">
        <v>0</v>
      </c>
      <c r="P146" s="496">
        <v>0</v>
      </c>
      <c r="Q146" s="114">
        <f t="shared" si="61"/>
        <v>0</v>
      </c>
    </row>
    <row r="147" spans="1:17" ht="26.25" customHeight="1" thickBot="1" x14ac:dyDescent="0.25">
      <c r="A147" s="978"/>
      <c r="B147" s="1019"/>
      <c r="C147" s="71"/>
      <c r="D147" s="973" t="s">
        <v>199</v>
      </c>
      <c r="E147" s="974"/>
      <c r="F147" s="275" t="s">
        <v>22</v>
      </c>
      <c r="G147" s="84">
        <f t="shared" si="62"/>
        <v>102</v>
      </c>
      <c r="H147" s="432">
        <f>a.4.Timisoara!I147+a.4.Loc.TM!I147+a.4.Deta!I147+a.4.Jimbolia!I147+a.4.Sannicolau!I147+a.4.Faget!I147+a.4.Buzias!I147</f>
        <v>0</v>
      </c>
      <c r="I147" s="432">
        <f>a.4.Timisoara!J147+a.4.Loc.TM!J147+a.4.Deta!J147+a.4.Jimbolia!J147+a.4.Sannicolau!J147+a.4.Faget!J147+a.4.Buzias!J147</f>
        <v>0</v>
      </c>
      <c r="J147" s="432">
        <f>a.4.Timisoara!K147+a.4.Loc.TM!K147+a.4.Deta!K147+a.4.Jimbolia!K147+a.4.Sannicolau!K147+a.4.Faget!K147+a.4.Buzias!K147</f>
        <v>0</v>
      </c>
      <c r="K147" s="432">
        <f>a.4.Timisoara!L147+a.4.Loc.TM!L147+a.4.Deta!L147+a.4.Jimbolia!L147+a.4.Sannicolau!L147+a.4.Faget!L147+a.4.Buzias!L147</f>
        <v>0</v>
      </c>
      <c r="L147" s="432">
        <f>a.4.Timisoara!M147+a.4.Loc.TM!M147+a.4.Deta!M147+a.4.Jimbolia!M147+a.4.Sannicolau!M147+a.4.Faget!M147+a.4.Buzias!M147</f>
        <v>0</v>
      </c>
      <c r="M147" s="405">
        <v>0</v>
      </c>
      <c r="N147" s="405">
        <v>0</v>
      </c>
      <c r="O147" s="405">
        <v>0</v>
      </c>
      <c r="P147" s="496">
        <v>0</v>
      </c>
      <c r="Q147" s="114">
        <f t="shared" si="61"/>
        <v>0</v>
      </c>
    </row>
    <row r="148" spans="1:17" ht="30" customHeight="1" thickBot="1" x14ac:dyDescent="0.25">
      <c r="A148" s="978"/>
      <c r="B148" s="1019"/>
      <c r="C148" s="71"/>
      <c r="D148" s="973" t="s">
        <v>200</v>
      </c>
      <c r="E148" s="974"/>
      <c r="F148" s="275" t="s">
        <v>22</v>
      </c>
      <c r="G148" s="84">
        <f t="shared" si="62"/>
        <v>103</v>
      </c>
      <c r="H148" s="432">
        <f>a.4.Timisoara!I148+a.4.Loc.TM!I148+a.4.Deta!I148+a.4.Jimbolia!I148+a.4.Sannicolau!I148+a.4.Faget!I148+a.4.Buzias!I148</f>
        <v>0</v>
      </c>
      <c r="I148" s="432">
        <f>a.4.Timisoara!J148+a.4.Loc.TM!J148+a.4.Deta!J148+a.4.Jimbolia!J148+a.4.Sannicolau!J148+a.4.Faget!J148+a.4.Buzias!J148</f>
        <v>0</v>
      </c>
      <c r="J148" s="432">
        <f>a.4.Timisoara!K148+a.4.Loc.TM!K148+a.4.Deta!K148+a.4.Jimbolia!K148+a.4.Sannicolau!K148+a.4.Faget!K148+a.4.Buzias!K148</f>
        <v>0</v>
      </c>
      <c r="K148" s="432">
        <f>a.4.Timisoara!L148+a.4.Loc.TM!L148+a.4.Deta!L148+a.4.Jimbolia!L148+a.4.Sannicolau!L148+a.4.Faget!L148+a.4.Buzias!L148</f>
        <v>0</v>
      </c>
      <c r="L148" s="432">
        <f>a.4.Timisoara!M148+a.4.Loc.TM!M148+a.4.Deta!M148+a.4.Jimbolia!M148+a.4.Sannicolau!M148+a.4.Faget!M148+a.4.Buzias!M148</f>
        <v>0</v>
      </c>
      <c r="M148" s="405">
        <v>0</v>
      </c>
      <c r="N148" s="405">
        <v>0</v>
      </c>
      <c r="O148" s="405">
        <v>0</v>
      </c>
      <c r="P148" s="496">
        <v>0</v>
      </c>
      <c r="Q148" s="114">
        <f t="shared" si="61"/>
        <v>0</v>
      </c>
    </row>
    <row r="149" spans="1:17" ht="42" customHeight="1" thickBot="1" x14ac:dyDescent="0.25">
      <c r="A149" s="978"/>
      <c r="B149" s="1019"/>
      <c r="C149" s="293" t="s">
        <v>63</v>
      </c>
      <c r="D149" s="986" t="s">
        <v>75</v>
      </c>
      <c r="E149" s="988"/>
      <c r="F149" s="276"/>
      <c r="G149" s="97">
        <f t="shared" si="62"/>
        <v>104</v>
      </c>
      <c r="H149" s="426">
        <f>a.4.Timisoara!I149+a.4.Loc.TM!I149+a.4.Deta!I149+a.4.Jimbolia!I149+a.4.Sannicolau!I149+a.4.Faget!I149+a.4.Buzias!I149</f>
        <v>686555</v>
      </c>
      <c r="I149" s="426">
        <f>a.4.Timisoara!J149+a.4.Loc.TM!J149+a.4.Deta!J149+a.4.Jimbolia!J149+a.4.Sannicolau!J149+a.4.Faget!J149+a.4.Buzias!J149</f>
        <v>155545</v>
      </c>
      <c r="J149" s="426">
        <f>a.4.Timisoara!K149+a.4.Loc.TM!K149+a.4.Deta!K149+a.4.Jimbolia!K149+a.4.Sannicolau!K149+a.4.Faget!K149+a.4.Buzias!K149</f>
        <v>233545</v>
      </c>
      <c r="K149" s="426">
        <f>a.4.Timisoara!L149+a.4.Loc.TM!L149+a.4.Deta!L149+a.4.Jimbolia!L149+a.4.Sannicolau!L149+a.4.Faget!L149+a.4.Buzias!L149</f>
        <v>155545</v>
      </c>
      <c r="L149" s="426">
        <f>a.4.Timisoara!M149+a.4.Loc.TM!M149+a.4.Deta!M149+a.4.Jimbolia!M149+a.4.Sannicolau!M149+a.4.Faget!M149+a.4.Buzias!M149</f>
        <v>141920</v>
      </c>
      <c r="M149" s="426">
        <f t="shared" ref="M149:O149" si="65">M150+M153+M156+M157</f>
        <v>505654</v>
      </c>
      <c r="N149" s="426">
        <f t="shared" ref="N149" si="66">N150+N153+N156+N157</f>
        <v>51501</v>
      </c>
      <c r="O149" s="426">
        <f t="shared" si="65"/>
        <v>557155</v>
      </c>
      <c r="P149" s="427">
        <v>686555</v>
      </c>
      <c r="Q149" s="114">
        <f t="shared" si="61"/>
        <v>0</v>
      </c>
    </row>
    <row r="150" spans="1:17" ht="13.5" thickBot="1" x14ac:dyDescent="0.25">
      <c r="A150" s="978"/>
      <c r="B150" s="1019"/>
      <c r="C150" s="1018"/>
      <c r="D150" s="973" t="s">
        <v>282</v>
      </c>
      <c r="E150" s="974"/>
      <c r="F150" s="275" t="s">
        <v>650</v>
      </c>
      <c r="G150" s="84">
        <f t="shared" si="62"/>
        <v>105</v>
      </c>
      <c r="H150" s="432">
        <f>a.4.Timisoara!I150+a.4.Loc.TM!I150+a.4.Deta!I150+a.4.Jimbolia!I150+a.4.Sannicolau!I150+a.4.Faget!I150+a.4.Buzias!I150</f>
        <v>258000</v>
      </c>
      <c r="I150" s="432">
        <f>a.4.Timisoara!J150+a.4.Loc.TM!J150+a.4.Deta!J150+a.4.Jimbolia!J150+a.4.Sannicolau!J150+a.4.Faget!J150+a.4.Buzias!J150</f>
        <v>45000</v>
      </c>
      <c r="J150" s="432">
        <f>a.4.Timisoara!K150+a.4.Loc.TM!K150+a.4.Deta!K150+a.4.Jimbolia!K150+a.4.Sannicolau!K150+a.4.Faget!K150+a.4.Buzias!K150</f>
        <v>123000</v>
      </c>
      <c r="K150" s="432">
        <f>a.4.Timisoara!L150+a.4.Loc.TM!L150+a.4.Deta!L150+a.4.Jimbolia!L150+a.4.Sannicolau!L150+a.4.Faget!L150+a.4.Buzias!L150</f>
        <v>45000</v>
      </c>
      <c r="L150" s="432">
        <f>a.4.Timisoara!M150+a.4.Loc.TM!M150+a.4.Deta!M150+a.4.Jimbolia!M150+a.4.Sannicolau!M150+a.4.Faget!M150+a.4.Buzias!M150</f>
        <v>45000</v>
      </c>
      <c r="M150" s="435">
        <f>SUM(M151:M152)</f>
        <v>221072</v>
      </c>
      <c r="N150" s="435">
        <f>SUM(N151:N152)</f>
        <v>15000</v>
      </c>
      <c r="O150" s="435">
        <f>SUM(O151:O152)</f>
        <v>236072</v>
      </c>
      <c r="P150" s="496">
        <v>258000</v>
      </c>
      <c r="Q150" s="114">
        <f t="shared" si="61"/>
        <v>0</v>
      </c>
    </row>
    <row r="151" spans="1:17" ht="18" customHeight="1" thickBot="1" x14ac:dyDescent="0.25">
      <c r="A151" s="978"/>
      <c r="B151" s="1019"/>
      <c r="C151" s="1019"/>
      <c r="D151" s="678"/>
      <c r="E151" s="679" t="s">
        <v>414</v>
      </c>
      <c r="F151" s="680"/>
      <c r="G151" s="95">
        <f t="shared" si="62"/>
        <v>106</v>
      </c>
      <c r="H151" s="430">
        <f>a.4.Timisoara!I151+a.4.Loc.TM!I151+a.4.Deta!I151+a.4.Jimbolia!I151+a.4.Sannicolau!I151+a.4.Faget!I151+a.4.Buzias!I151</f>
        <v>78000</v>
      </c>
      <c r="I151" s="430">
        <f>a.4.Timisoara!J151+a.4.Loc.TM!J151+a.4.Deta!J151+a.4.Jimbolia!J151+a.4.Sannicolau!J151+a.4.Faget!J151+a.4.Buzias!J151</f>
        <v>19500</v>
      </c>
      <c r="J151" s="430">
        <f>a.4.Timisoara!K151+a.4.Loc.TM!K151+a.4.Deta!K151+a.4.Jimbolia!K151+a.4.Sannicolau!K151+a.4.Faget!K151+a.4.Buzias!K151</f>
        <v>19500</v>
      </c>
      <c r="K151" s="430">
        <f>a.4.Timisoara!L151+a.4.Loc.TM!L151+a.4.Deta!L151+a.4.Jimbolia!L151+a.4.Sannicolau!L151+a.4.Faget!L151+a.4.Buzias!L151</f>
        <v>19500</v>
      </c>
      <c r="L151" s="430">
        <f>a.4.Timisoara!M151+a.4.Loc.TM!M151+a.4.Deta!M151+a.4.Jimbolia!M151+a.4.Sannicolau!M151+a.4.Faget!M151+a.4.Buzias!M151</f>
        <v>19500</v>
      </c>
      <c r="M151" s="430">
        <f>70000+136072+15000</f>
        <v>221072</v>
      </c>
      <c r="N151" s="430">
        <f>O151-M151</f>
        <v>15000</v>
      </c>
      <c r="O151" s="430">
        <v>236072</v>
      </c>
      <c r="P151" s="431">
        <v>78000</v>
      </c>
      <c r="Q151" s="114">
        <f t="shared" si="61"/>
        <v>0</v>
      </c>
    </row>
    <row r="152" spans="1:17" ht="18" customHeight="1" thickBot="1" x14ac:dyDescent="0.25">
      <c r="A152" s="978"/>
      <c r="B152" s="1019"/>
      <c r="C152" s="1019"/>
      <c r="D152" s="678"/>
      <c r="E152" s="679" t="s">
        <v>415</v>
      </c>
      <c r="F152" s="680"/>
      <c r="G152" s="95">
        <f t="shared" si="62"/>
        <v>107</v>
      </c>
      <c r="H152" s="430">
        <f>a.4.Timisoara!I152+a.4.Loc.TM!I152+a.4.Deta!I152+a.4.Jimbolia!I152+a.4.Sannicolau!I152+a.4.Faget!I152+a.4.Buzias!I152</f>
        <v>180000</v>
      </c>
      <c r="I152" s="430">
        <f>a.4.Timisoara!J152+a.4.Loc.TM!J152+a.4.Deta!J152+a.4.Jimbolia!J152+a.4.Sannicolau!J152+a.4.Faget!J152+a.4.Buzias!J152</f>
        <v>25500</v>
      </c>
      <c r="J152" s="430">
        <f>a.4.Timisoara!K152+a.4.Loc.TM!K152+a.4.Deta!K152+a.4.Jimbolia!K152+a.4.Sannicolau!K152+a.4.Faget!K152+a.4.Buzias!K152</f>
        <v>103500</v>
      </c>
      <c r="K152" s="430">
        <f>a.4.Timisoara!L152+a.4.Loc.TM!L152+a.4.Deta!L152+a.4.Jimbolia!L152+a.4.Sannicolau!L152+a.4.Faget!L152+a.4.Buzias!L152</f>
        <v>25500</v>
      </c>
      <c r="L152" s="430">
        <f>a.4.Timisoara!M152+a.4.Loc.TM!M152+a.4.Deta!M152+a.4.Jimbolia!M152+a.4.Sannicolau!M152+a.4.Faget!M152+a.4.Buzias!M152</f>
        <v>25500</v>
      </c>
      <c r="M152" s="430"/>
      <c r="N152" s="430"/>
      <c r="O152" s="430"/>
      <c r="P152" s="431">
        <v>180000</v>
      </c>
      <c r="Q152" s="114">
        <f t="shared" si="61"/>
        <v>0</v>
      </c>
    </row>
    <row r="153" spans="1:17" ht="18" customHeight="1" thickBot="1" x14ac:dyDescent="0.25">
      <c r="A153" s="978"/>
      <c r="B153" s="1019"/>
      <c r="C153" s="1019"/>
      <c r="D153" s="1021" t="s">
        <v>201</v>
      </c>
      <c r="E153" s="1022"/>
      <c r="F153" s="302" t="s">
        <v>651</v>
      </c>
      <c r="G153" s="95">
        <f t="shared" si="62"/>
        <v>108</v>
      </c>
      <c r="H153" s="430">
        <f>a.4.Timisoara!I153+a.4.Loc.TM!I153+a.4.Deta!I153+a.4.Jimbolia!I153+a.4.Sannicolau!I153+a.4.Faget!I153+a.4.Buzias!I153</f>
        <v>333180</v>
      </c>
      <c r="I153" s="430">
        <f>a.4.Timisoara!J153+a.4.Loc.TM!J153+a.4.Deta!J153+a.4.Jimbolia!J153+a.4.Sannicolau!J153+a.4.Faget!J153+a.4.Buzias!J153</f>
        <v>83295</v>
      </c>
      <c r="J153" s="430">
        <f>a.4.Timisoara!K153+a.4.Loc.TM!K153+a.4.Deta!K153+a.4.Jimbolia!K153+a.4.Sannicolau!K153+a.4.Faget!K153+a.4.Buzias!K153</f>
        <v>83295</v>
      </c>
      <c r="K153" s="430">
        <f>a.4.Timisoara!L153+a.4.Loc.TM!L153+a.4.Deta!L153+a.4.Jimbolia!L153+a.4.Sannicolau!L153+a.4.Faget!L153+a.4.Buzias!L153</f>
        <v>83295</v>
      </c>
      <c r="L153" s="430">
        <f>a.4.Timisoara!M153+a.4.Loc.TM!M153+a.4.Deta!M153+a.4.Jimbolia!M153+a.4.Sannicolau!M153+a.4.Faget!M153+a.4.Buzias!M153</f>
        <v>83295</v>
      </c>
      <c r="M153" s="430">
        <f>SUM(M154:M155)</f>
        <v>261707</v>
      </c>
      <c r="N153" s="430">
        <f>SUM(N154:N155)</f>
        <v>27751</v>
      </c>
      <c r="O153" s="430">
        <f>SUM(O154:O155)</f>
        <v>289458</v>
      </c>
      <c r="P153" s="431">
        <v>333180</v>
      </c>
      <c r="Q153" s="114">
        <f t="shared" si="61"/>
        <v>0</v>
      </c>
    </row>
    <row r="154" spans="1:17" ht="18" customHeight="1" thickBot="1" x14ac:dyDescent="0.25">
      <c r="A154" s="978"/>
      <c r="B154" s="1019"/>
      <c r="C154" s="1019"/>
      <c r="D154" s="678"/>
      <c r="E154" s="679" t="s">
        <v>414</v>
      </c>
      <c r="F154" s="680"/>
      <c r="G154" s="95">
        <f t="shared" si="62"/>
        <v>109</v>
      </c>
      <c r="H154" s="430">
        <f>a.4.Timisoara!I154+a.4.Loc.TM!I154+a.4.Deta!I154+a.4.Jimbolia!I154+a.4.Sannicolau!I154+a.4.Faget!I154+a.4.Buzias!I154</f>
        <v>265680</v>
      </c>
      <c r="I154" s="430">
        <f>a.4.Timisoara!J154+a.4.Loc.TM!J154+a.4.Deta!J154+a.4.Jimbolia!J154+a.4.Sannicolau!J154+a.4.Faget!J154+a.4.Buzias!J154</f>
        <v>66420</v>
      </c>
      <c r="J154" s="430">
        <f>a.4.Timisoara!K154+a.4.Loc.TM!K154+a.4.Deta!K154+a.4.Jimbolia!K154+a.4.Sannicolau!K154+a.4.Faget!K154+a.4.Buzias!K154</f>
        <v>66420</v>
      </c>
      <c r="K154" s="430">
        <f>a.4.Timisoara!L154+a.4.Loc.TM!L154+a.4.Deta!L154+a.4.Jimbolia!L154+a.4.Sannicolau!L154+a.4.Faget!L154+a.4.Buzias!L154</f>
        <v>66420</v>
      </c>
      <c r="L154" s="430">
        <f>a.4.Timisoara!M154+a.4.Loc.TM!M154+a.4.Deta!M154+a.4.Jimbolia!M154+a.4.Sannicolau!M154+a.4.Faget!M154+a.4.Buzias!M154</f>
        <v>66420</v>
      </c>
      <c r="M154" s="430">
        <v>261707</v>
      </c>
      <c r="N154" s="430">
        <f>O154-M154</f>
        <v>27751</v>
      </c>
      <c r="O154" s="430">
        <v>289458</v>
      </c>
      <c r="P154" s="431">
        <v>265680</v>
      </c>
      <c r="Q154" s="114">
        <f t="shared" si="61"/>
        <v>0</v>
      </c>
    </row>
    <row r="155" spans="1:17" ht="18" customHeight="1" thickBot="1" x14ac:dyDescent="0.25">
      <c r="A155" s="978"/>
      <c r="B155" s="1019"/>
      <c r="C155" s="1019"/>
      <c r="D155" s="678"/>
      <c r="E155" s="679" t="s">
        <v>415</v>
      </c>
      <c r="F155" s="680"/>
      <c r="G155" s="95">
        <f t="shared" si="62"/>
        <v>110</v>
      </c>
      <c r="H155" s="430">
        <f>a.4.Timisoara!I155+a.4.Loc.TM!I155+a.4.Deta!I155+a.4.Jimbolia!I155+a.4.Sannicolau!I155+a.4.Faget!I155+a.4.Buzias!I155</f>
        <v>67500</v>
      </c>
      <c r="I155" s="430">
        <f>a.4.Timisoara!J155+a.4.Loc.TM!J155+a.4.Deta!J155+a.4.Jimbolia!J155+a.4.Sannicolau!J155+a.4.Faget!J155+a.4.Buzias!J155</f>
        <v>16875</v>
      </c>
      <c r="J155" s="430">
        <f>a.4.Timisoara!K155+a.4.Loc.TM!K155+a.4.Deta!K155+a.4.Jimbolia!K155+a.4.Sannicolau!K155+a.4.Faget!K155+a.4.Buzias!K155</f>
        <v>16875</v>
      </c>
      <c r="K155" s="430">
        <f>a.4.Timisoara!L155+a.4.Loc.TM!L155+a.4.Deta!L155+a.4.Jimbolia!L155+a.4.Sannicolau!L155+a.4.Faget!L155+a.4.Buzias!L155</f>
        <v>16875</v>
      </c>
      <c r="L155" s="430">
        <f>a.4.Timisoara!M155+a.4.Loc.TM!M155+a.4.Deta!M155+a.4.Jimbolia!M155+a.4.Sannicolau!M155+a.4.Faget!M155+a.4.Buzias!M155</f>
        <v>16875</v>
      </c>
      <c r="M155" s="430"/>
      <c r="N155" s="430"/>
      <c r="O155" s="435"/>
      <c r="P155" s="431">
        <v>67500</v>
      </c>
      <c r="Q155" s="114">
        <f t="shared" si="61"/>
        <v>0</v>
      </c>
    </row>
    <row r="156" spans="1:17" ht="13.5" thickBot="1" x14ac:dyDescent="0.25">
      <c r="A156" s="978"/>
      <c r="B156" s="1019"/>
      <c r="C156" s="1020"/>
      <c r="D156" s="1021" t="s">
        <v>202</v>
      </c>
      <c r="E156" s="1022"/>
      <c r="F156" s="302" t="s">
        <v>652</v>
      </c>
      <c r="G156" s="95">
        <f t="shared" si="62"/>
        <v>111</v>
      </c>
      <c r="H156" s="430">
        <f>a.4.Timisoara!I156+a.4.Loc.TM!I156+a.4.Deta!I156+a.4.Jimbolia!I156+a.4.Sannicolau!I156+a.4.Faget!I156+a.4.Buzias!I156</f>
        <v>95375</v>
      </c>
      <c r="I156" s="430">
        <f>a.4.Timisoara!J156+a.4.Loc.TM!J156+a.4.Deta!J156+a.4.Jimbolia!J156+a.4.Sannicolau!J156+a.4.Faget!J156+a.4.Buzias!J156</f>
        <v>27250</v>
      </c>
      <c r="J156" s="430">
        <f>a.4.Timisoara!K156+a.4.Loc.TM!K156+a.4.Deta!K156+a.4.Jimbolia!K156+a.4.Sannicolau!K156+a.4.Faget!K156+a.4.Buzias!K156</f>
        <v>27250</v>
      </c>
      <c r="K156" s="430">
        <f>a.4.Timisoara!L156+a.4.Loc.TM!L156+a.4.Deta!L156+a.4.Jimbolia!L156+a.4.Sannicolau!L156+a.4.Faget!L156+a.4.Buzias!L156</f>
        <v>27250</v>
      </c>
      <c r="L156" s="430">
        <f>a.4.Timisoara!M156+a.4.Loc.TM!M156+a.4.Deta!M156+a.4.Jimbolia!M156+a.4.Sannicolau!M156+a.4.Faget!M156+a.4.Buzias!M156</f>
        <v>13625</v>
      </c>
      <c r="M156" s="430">
        <v>22875</v>
      </c>
      <c r="N156" s="430">
        <f>O156-M156</f>
        <v>8750</v>
      </c>
      <c r="O156" s="430">
        <v>31625</v>
      </c>
      <c r="P156" s="431">
        <v>95375</v>
      </c>
      <c r="Q156" s="114">
        <f t="shared" si="61"/>
        <v>0</v>
      </c>
    </row>
    <row r="157" spans="1:17" ht="13.5" thickBot="1" x14ac:dyDescent="0.25">
      <c r="A157" s="978"/>
      <c r="B157" s="1019"/>
      <c r="C157" s="71"/>
      <c r="D157" s="973" t="s">
        <v>203</v>
      </c>
      <c r="E157" s="974"/>
      <c r="F157" s="275"/>
      <c r="G157" s="84">
        <f t="shared" si="62"/>
        <v>112</v>
      </c>
      <c r="H157" s="432">
        <f>a.4.Timisoara!I157+a.4.Loc.TM!I157+a.4.Deta!I157+a.4.Jimbolia!I157+a.4.Sannicolau!I157+a.4.Faget!I157+a.4.Buzias!I157</f>
        <v>0</v>
      </c>
      <c r="I157" s="432">
        <f>a.4.Timisoara!J157+a.4.Loc.TM!J157+a.4.Deta!J157+a.4.Jimbolia!J157+a.4.Sannicolau!J157+a.4.Faget!J157+a.4.Buzias!J157</f>
        <v>0</v>
      </c>
      <c r="J157" s="432">
        <f>a.4.Timisoara!K157+a.4.Loc.TM!K157+a.4.Deta!K157+a.4.Jimbolia!K157+a.4.Sannicolau!K157+a.4.Faget!K157+a.4.Buzias!K157</f>
        <v>0</v>
      </c>
      <c r="K157" s="432">
        <f>a.4.Timisoara!L157+a.4.Loc.TM!L157+a.4.Deta!L157+a.4.Jimbolia!L157+a.4.Sannicolau!L157+a.4.Faget!L157+a.4.Buzias!L157</f>
        <v>0</v>
      </c>
      <c r="L157" s="432">
        <f>a.4.Timisoara!M157+a.4.Loc.TM!M157+a.4.Deta!M157+a.4.Jimbolia!M157+a.4.Sannicolau!M157+a.4.Faget!M157+a.4.Buzias!M157</f>
        <v>0</v>
      </c>
      <c r="M157" s="405">
        <v>0</v>
      </c>
      <c r="N157" s="405">
        <v>0</v>
      </c>
      <c r="O157" s="405">
        <v>0</v>
      </c>
      <c r="P157" s="496">
        <v>0</v>
      </c>
      <c r="Q157" s="114">
        <f t="shared" si="61"/>
        <v>0</v>
      </c>
    </row>
    <row r="158" spans="1:17" ht="42.75" customHeight="1" thickBot="1" x14ac:dyDescent="0.25">
      <c r="A158" s="978"/>
      <c r="B158" s="1019"/>
      <c r="C158" s="293" t="s">
        <v>68</v>
      </c>
      <c r="D158" s="986" t="s">
        <v>204</v>
      </c>
      <c r="E158" s="988"/>
      <c r="F158" s="276"/>
      <c r="G158" s="97">
        <f t="shared" si="62"/>
        <v>113</v>
      </c>
      <c r="H158" s="426">
        <f>a.4.Timisoara!I158+a.4.Loc.TM!I158+a.4.Deta!I158+a.4.Jimbolia!I158+a.4.Sannicolau!I158+a.4.Faget!I158+a.4.Buzias!I158</f>
        <v>8491672.3288800009</v>
      </c>
      <c r="I158" s="426">
        <f>a.4.Timisoara!J158+a.4.Loc.TM!J158+a.4.Deta!J158+a.4.Jimbolia!J158+a.4.Sannicolau!J158+a.4.Faget!J158+a.4.Buzias!J158</f>
        <v>1815343.8945200001</v>
      </c>
      <c r="J158" s="426">
        <f>a.4.Timisoara!K158+a.4.Loc.TM!K158+a.4.Deta!K158+a.4.Jimbolia!K158+a.4.Sannicolau!K158+a.4.Faget!K158+a.4.Buzias!K158</f>
        <v>2534491.1353399991</v>
      </c>
      <c r="K158" s="426">
        <f>a.4.Timisoara!L158+a.4.Loc.TM!L158+a.4.Deta!L158+a.4.Jimbolia!L158+a.4.Sannicolau!L158+a.4.Faget!L158+a.4.Buzias!L158</f>
        <v>1960280.9860799999</v>
      </c>
      <c r="L158" s="426">
        <f>a.4.Timisoara!M158+a.4.Loc.TM!M158+a.4.Deta!M158+a.4.Jimbolia!M158+a.4.Sannicolau!M158+a.4.Faget!M158+a.4.Buzias!M158</f>
        <v>2181556.3129400001</v>
      </c>
      <c r="M158" s="426">
        <f>SUM(M159:M164)</f>
        <v>7861056</v>
      </c>
      <c r="N158" s="426">
        <f>SUM(N159:N164)</f>
        <v>1076023.6345199998</v>
      </c>
      <c r="O158" s="426">
        <f>SUM(O159:O164)</f>
        <v>8937079.6345199998</v>
      </c>
      <c r="P158" s="427">
        <v>8491672.3288800009</v>
      </c>
      <c r="Q158" s="114">
        <f t="shared" si="61"/>
        <v>0</v>
      </c>
    </row>
    <row r="159" spans="1:17" ht="13.5" thickBot="1" x14ac:dyDescent="0.25">
      <c r="A159" s="978"/>
      <c r="B159" s="1019"/>
      <c r="C159" s="495">
        <f>(15.8+0.214 +1.2)%</f>
        <v>0.17213999999999999</v>
      </c>
      <c r="D159" s="973" t="s">
        <v>205</v>
      </c>
      <c r="E159" s="974"/>
      <c r="F159" s="275">
        <v>645</v>
      </c>
      <c r="G159" s="84">
        <f t="shared" si="62"/>
        <v>114</v>
      </c>
      <c r="H159" s="432">
        <f>a.4.Timisoara!I159+a.4.Loc.TM!I159+a.4.Deta!I159+a.4.Jimbolia!I159+a.4.Sannicolau!I159+a.4.Faget!I159+a.4.Buzias!I159</f>
        <v>6070403.6728800014</v>
      </c>
      <c r="I159" s="432">
        <f>a.4.Timisoara!J159+a.4.Loc.TM!J159+a.4.Deta!J159+a.4.Jimbolia!J159+a.4.Sannicolau!J159+a.4.Faget!J159+a.4.Buzias!J159</f>
        <v>1297849.0705200001</v>
      </c>
      <c r="J159" s="432">
        <f>a.4.Timisoara!K159+a.4.Loc.TM!K159+a.4.Deta!K159+a.4.Jimbolia!K159+a.4.Sannicolau!K159+a.4.Faget!K159+a.4.Buzias!K159</f>
        <v>1812012.8273399998</v>
      </c>
      <c r="K159" s="432">
        <f>a.4.Timisoara!L159+a.4.Loc.TM!L159+a.4.Deta!L159+a.4.Jimbolia!L159+a.4.Sannicolau!L159+a.4.Faget!L159+a.4.Buzias!L159</f>
        <v>1401071.2900799997</v>
      </c>
      <c r="L159" s="432">
        <f>a.4.Timisoara!M159+a.4.Loc.TM!M159+a.4.Deta!M159+a.4.Jimbolia!M159+a.4.Sannicolau!M159+a.4.Faget!M159+a.4.Buzias!M159</f>
        <v>1559470.4849400001</v>
      </c>
      <c r="M159" s="405">
        <f>5395302+440776+57042+4494</f>
        <v>5897614</v>
      </c>
      <c r="N159" s="405">
        <f>($N$133+$N$149)*C159</f>
        <v>771328.01051999989</v>
      </c>
      <c r="O159" s="405">
        <f>SUM(M159:N159)</f>
        <v>6668942.01052</v>
      </c>
      <c r="P159" s="496">
        <v>6070403.6728800014</v>
      </c>
      <c r="Q159" s="114">
        <f t="shared" si="61"/>
        <v>0</v>
      </c>
    </row>
    <row r="160" spans="1:17" ht="13.5" thickBot="1" x14ac:dyDescent="0.25">
      <c r="A160" s="978"/>
      <c r="B160" s="1019"/>
      <c r="C160" s="495">
        <f>(0.5+0.25)%</f>
        <v>7.4999999999999997E-3</v>
      </c>
      <c r="D160" s="973" t="s">
        <v>206</v>
      </c>
      <c r="E160" s="974"/>
      <c r="F160" s="275">
        <v>6452</v>
      </c>
      <c r="G160" s="84">
        <f t="shared" si="62"/>
        <v>115</v>
      </c>
      <c r="H160" s="432">
        <f>a.4.Timisoara!I160+a.4.Loc.TM!I160+a.4.Deta!I160+a.4.Jimbolia!I160+a.4.Sannicolau!I160+a.4.Faget!I160+a.4.Buzias!I160</f>
        <v>267051.68999999994</v>
      </c>
      <c r="I160" s="432">
        <f>a.4.Timisoara!J160+a.4.Loc.TM!J160+a.4.Deta!J160+a.4.Jimbolia!J160+a.4.Sannicolau!J160+a.4.Faget!J160+a.4.Buzias!J160</f>
        <v>57076.635000000002</v>
      </c>
      <c r="J160" s="432">
        <f>a.4.Timisoara!K160+a.4.Loc.TM!K160+a.4.Deta!K160+a.4.Jimbolia!K160+a.4.Sannicolau!K160+a.4.Faget!K160+a.4.Buzias!K160</f>
        <v>79685.107499999984</v>
      </c>
      <c r="K160" s="432">
        <f>a.4.Timisoara!L160+a.4.Loc.TM!L160+a.4.Deta!L160+a.4.Jimbolia!L160+a.4.Sannicolau!L160+a.4.Faget!L160+a.4.Buzias!L160</f>
        <v>61677.539999999994</v>
      </c>
      <c r="L160" s="432">
        <f>a.4.Timisoara!M160+a.4.Loc.TM!M160+a.4.Deta!M160+a.4.Jimbolia!M160+a.4.Sannicolau!M160+a.4.Faget!M160+a.4.Buzias!M160</f>
        <v>68612.407499999987</v>
      </c>
      <c r="M160" s="405">
        <f>132505+10500+66525</f>
        <v>209530</v>
      </c>
      <c r="N160" s="405">
        <f t="shared" ref="N160:N161" si="67">($N$133+$N$149)*C160</f>
        <v>33606.135000000002</v>
      </c>
      <c r="O160" s="405">
        <f t="shared" ref="O160:O161" si="68">SUM(M160:N160)</f>
        <v>243136.13500000001</v>
      </c>
      <c r="P160" s="496">
        <v>267051.68999999994</v>
      </c>
      <c r="Q160" s="114">
        <f t="shared" si="61"/>
        <v>0</v>
      </c>
    </row>
    <row r="161" spans="1:17" ht="13.5" thickBot="1" x14ac:dyDescent="0.25">
      <c r="A161" s="978"/>
      <c r="B161" s="1019"/>
      <c r="C161" s="495">
        <f>(5.2+0.85)%</f>
        <v>6.0499999999999998E-2</v>
      </c>
      <c r="D161" s="973" t="s">
        <v>207</v>
      </c>
      <c r="E161" s="974"/>
      <c r="F161" s="275">
        <v>6453</v>
      </c>
      <c r="G161" s="84">
        <f t="shared" si="62"/>
        <v>116</v>
      </c>
      <c r="H161" s="432">
        <f>a.4.Timisoara!I161+a.4.Loc.TM!I161+a.4.Deta!I161+a.4.Jimbolia!I161+a.4.Sannicolau!I161+a.4.Faget!I161+a.4.Buzias!I161</f>
        <v>2154216.9659999995</v>
      </c>
      <c r="I161" s="432">
        <f>a.4.Timisoara!J161+a.4.Loc.TM!J161+a.4.Deta!J161+a.4.Jimbolia!J161+a.4.Sannicolau!J161+a.4.Faget!J161+a.4.Buzias!J161</f>
        <v>460418.18900000001</v>
      </c>
      <c r="J161" s="432">
        <f>a.4.Timisoara!K161+a.4.Loc.TM!K161+a.4.Deta!K161+a.4.Jimbolia!K161+a.4.Sannicolau!K161+a.4.Faget!K161+a.4.Buzias!K161</f>
        <v>642793.20049999992</v>
      </c>
      <c r="K161" s="432">
        <f>a.4.Timisoara!L161+a.4.Loc.TM!L161+a.4.Deta!L161+a.4.Jimbolia!L161+a.4.Sannicolau!L161+a.4.Faget!L161+a.4.Buzias!L161</f>
        <v>497532.15599999996</v>
      </c>
      <c r="L161" s="432">
        <f>a.4.Timisoara!M161+a.4.Loc.TM!M161+a.4.Deta!M161+a.4.Jimbolia!M161+a.4.Sannicolau!M161+a.4.Faget!M161+a.4.Buzias!M161</f>
        <v>553473.42050000001</v>
      </c>
      <c r="M161" s="405">
        <f>1398294+109200+228568+17850</f>
        <v>1753912</v>
      </c>
      <c r="N161" s="405">
        <f t="shared" si="67"/>
        <v>271089.489</v>
      </c>
      <c r="O161" s="405">
        <f t="shared" si="68"/>
        <v>2025001.4890000001</v>
      </c>
      <c r="P161" s="496">
        <v>2154216.9659999995</v>
      </c>
      <c r="Q161" s="114">
        <f t="shared" si="61"/>
        <v>0</v>
      </c>
    </row>
    <row r="162" spans="1:17" ht="24" customHeight="1" thickBot="1" x14ac:dyDescent="0.25">
      <c r="A162" s="978"/>
      <c r="B162" s="1019"/>
      <c r="C162" s="315"/>
      <c r="D162" s="973" t="s">
        <v>208</v>
      </c>
      <c r="E162" s="974"/>
      <c r="F162" s="275"/>
      <c r="G162" s="84">
        <f t="shared" si="62"/>
        <v>117</v>
      </c>
      <c r="H162" s="432">
        <f>a.4.Timisoara!I162+a.4.Loc.TM!I162+a.4.Deta!I162+a.4.Jimbolia!I162+a.4.Sannicolau!I162+a.4.Faget!I162+a.4.Buzias!I162</f>
        <v>0</v>
      </c>
      <c r="I162" s="432">
        <f>a.4.Timisoara!J162+a.4.Loc.TM!J162+a.4.Deta!J162+a.4.Jimbolia!J162+a.4.Sannicolau!J162+a.4.Faget!J162+a.4.Buzias!J162</f>
        <v>0</v>
      </c>
      <c r="J162" s="432">
        <f>a.4.Timisoara!K162+a.4.Loc.TM!K162+a.4.Deta!K162+a.4.Jimbolia!K162+a.4.Sannicolau!K162+a.4.Faget!K162+a.4.Buzias!K162</f>
        <v>0</v>
      </c>
      <c r="K162" s="432">
        <f>a.4.Timisoara!L162+a.4.Loc.TM!L162+a.4.Deta!L162+a.4.Jimbolia!L162+a.4.Sannicolau!L162+a.4.Faget!L162+a.4.Buzias!L162</f>
        <v>0</v>
      </c>
      <c r="L162" s="432">
        <f>a.4.Timisoara!M162+a.4.Loc.TM!M162+a.4.Deta!M162+a.4.Jimbolia!M162+a.4.Sannicolau!M162+a.4.Faget!M162+a.4.Buzias!M162</f>
        <v>0</v>
      </c>
      <c r="M162" s="405"/>
      <c r="N162" s="405"/>
      <c r="O162" s="405"/>
      <c r="P162" s="496">
        <v>0</v>
      </c>
      <c r="Q162" s="114">
        <f t="shared" si="61"/>
        <v>0</v>
      </c>
    </row>
    <row r="163" spans="1:17" ht="13.5" thickBot="1" x14ac:dyDescent="0.25">
      <c r="A163" s="978"/>
      <c r="B163" s="1019"/>
      <c r="C163" s="315"/>
      <c r="D163" s="973" t="s">
        <v>209</v>
      </c>
      <c r="E163" s="974"/>
      <c r="F163" s="275"/>
      <c r="G163" s="84">
        <f t="shared" si="62"/>
        <v>118</v>
      </c>
      <c r="H163" s="432">
        <f>a.4.Timisoara!I163+a.4.Loc.TM!I163+a.4.Deta!I163+a.4.Jimbolia!I163+a.4.Sannicolau!I163+a.4.Faget!I163+a.4.Buzias!I163</f>
        <v>0</v>
      </c>
      <c r="I163" s="432">
        <f>a.4.Timisoara!J163+a.4.Loc.TM!J163+a.4.Deta!J163+a.4.Jimbolia!J163+a.4.Sannicolau!J163+a.4.Faget!J163+a.4.Buzias!J163</f>
        <v>0</v>
      </c>
      <c r="J163" s="432">
        <f>a.4.Timisoara!K163+a.4.Loc.TM!K163+a.4.Deta!K163+a.4.Jimbolia!K163+a.4.Sannicolau!K163+a.4.Faget!K163+a.4.Buzias!K163</f>
        <v>0</v>
      </c>
      <c r="K163" s="432">
        <f>a.4.Timisoara!L163+a.4.Loc.TM!L163+a.4.Deta!L163+a.4.Jimbolia!L163+a.4.Sannicolau!L163+a.4.Faget!L163+a.4.Buzias!L163</f>
        <v>0</v>
      </c>
      <c r="L163" s="432">
        <f>a.4.Timisoara!M163+a.4.Loc.TM!M163+a.4.Deta!M163+a.4.Jimbolia!M163+a.4.Sannicolau!M163+a.4.Faget!M163+a.4.Buzias!M163</f>
        <v>0</v>
      </c>
      <c r="M163" s="405"/>
      <c r="N163" s="405"/>
      <c r="O163" s="405"/>
      <c r="P163" s="496">
        <v>0</v>
      </c>
      <c r="Q163" s="114">
        <f t="shared" si="61"/>
        <v>0</v>
      </c>
    </row>
    <row r="164" spans="1:17" ht="13.5" thickBot="1" x14ac:dyDescent="0.25">
      <c r="A164" s="978"/>
      <c r="B164" s="1019"/>
      <c r="C164" s="298"/>
      <c r="D164" s="973" t="s">
        <v>210</v>
      </c>
      <c r="E164" s="974"/>
      <c r="F164" s="275"/>
      <c r="G164" s="84">
        <f t="shared" si="62"/>
        <v>119</v>
      </c>
      <c r="H164" s="432">
        <f>a.4.Timisoara!I164+a.4.Loc.TM!I164+a.4.Deta!I164+a.4.Jimbolia!I164+a.4.Sannicolau!I164+a.4.Faget!I164+a.4.Buzias!I164</f>
        <v>0</v>
      </c>
      <c r="I164" s="432">
        <f>a.4.Timisoara!J164+a.4.Loc.TM!J164+a.4.Deta!J164+a.4.Jimbolia!J164+a.4.Sannicolau!J164+a.4.Faget!J164+a.4.Buzias!J164</f>
        <v>0</v>
      </c>
      <c r="J164" s="432">
        <f>a.4.Timisoara!K164+a.4.Loc.TM!K164+a.4.Deta!K164+a.4.Jimbolia!K164+a.4.Sannicolau!K164+a.4.Faget!K164+a.4.Buzias!K164</f>
        <v>0</v>
      </c>
      <c r="K164" s="432">
        <f>a.4.Timisoara!L164+a.4.Loc.TM!L164+a.4.Deta!L164+a.4.Jimbolia!L164+a.4.Sannicolau!L164+a.4.Faget!L164+a.4.Buzias!L164</f>
        <v>0</v>
      </c>
      <c r="L164" s="432">
        <f>a.4.Timisoara!M164+a.4.Loc.TM!M164+a.4.Deta!M164+a.4.Jimbolia!M164+a.4.Sannicolau!M164+a.4.Faget!M164+a.4.Buzias!M164</f>
        <v>0</v>
      </c>
      <c r="M164" s="405"/>
      <c r="N164" s="405"/>
      <c r="O164" s="405"/>
      <c r="P164" s="496">
        <v>0</v>
      </c>
      <c r="Q164" s="114">
        <f t="shared" si="61"/>
        <v>0</v>
      </c>
    </row>
    <row r="165" spans="1:17" ht="27" customHeight="1" thickBot="1" x14ac:dyDescent="0.25">
      <c r="A165" s="978"/>
      <c r="B165" s="1019"/>
      <c r="C165" s="986" t="s">
        <v>469</v>
      </c>
      <c r="D165" s="987"/>
      <c r="E165" s="988"/>
      <c r="F165" s="276"/>
      <c r="G165" s="97">
        <f t="shared" si="62"/>
        <v>120</v>
      </c>
      <c r="H165" s="426">
        <f>a.4.Timisoara!I165+a.4.Loc.TM!I165+a.4.Deta!I165+a.4.Jimbolia!I165+a.4.Sannicolau!I165+a.4.Faget!I165+a.4.Buzias!I165</f>
        <v>9352603.6099999994</v>
      </c>
      <c r="I165" s="426">
        <f>a.4.Timisoara!J165+a.4.Loc.TM!J165+a.4.Deta!J165+a.4.Jimbolia!J165+a.4.Sannicolau!J165+a.4.Faget!J165+a.4.Buzias!J165</f>
        <v>1725092.4</v>
      </c>
      <c r="J165" s="426">
        <f>a.4.Timisoara!K165+a.4.Loc.TM!K165+a.4.Deta!K165+a.4.Jimbolia!K165+a.4.Sannicolau!K165+a.4.Faget!K165+a.4.Buzias!K165</f>
        <v>-474027.92</v>
      </c>
      <c r="K165" s="426">
        <f>a.4.Timisoara!L165+a.4.Loc.TM!L165+a.4.Deta!L165+a.4.Jimbolia!L165+a.4.Sannicolau!L165+a.4.Faget!L165+a.4.Buzias!L165</f>
        <v>1852529.13</v>
      </c>
      <c r="L165" s="426">
        <f>a.4.Timisoara!M165+a.4.Loc.TM!M165+a.4.Deta!M165+a.4.Jimbolia!M165+a.4.Sannicolau!M165+a.4.Faget!M165+a.4.Buzias!M165</f>
        <v>6249010</v>
      </c>
      <c r="M165" s="426">
        <f t="shared" ref="M165:O165" si="69">M166+M169+M170+M171+M172+M173</f>
        <v>4140722</v>
      </c>
      <c r="N165" s="426">
        <f t="shared" ref="N165" si="70">N166+N169+N170+N171+N172+N173</f>
        <v>6920002</v>
      </c>
      <c r="O165" s="426">
        <f t="shared" si="69"/>
        <v>11060724</v>
      </c>
      <c r="P165" s="427">
        <v>9352603.6099999994</v>
      </c>
      <c r="Q165" s="114">
        <f t="shared" si="61"/>
        <v>0</v>
      </c>
    </row>
    <row r="166" spans="1:17" ht="13.5" thickBot="1" x14ac:dyDescent="0.25">
      <c r="A166" s="978"/>
      <c r="B166" s="1019"/>
      <c r="C166" s="71" t="s">
        <v>27</v>
      </c>
      <c r="D166" s="973" t="s">
        <v>470</v>
      </c>
      <c r="E166" s="974"/>
      <c r="F166" s="275"/>
      <c r="G166" s="84">
        <f t="shared" si="62"/>
        <v>121</v>
      </c>
      <c r="H166" s="531">
        <f>a.4.Timisoara!I166+a.4.Loc.TM!I166+a.4.Deta!I166+a.4.Jimbolia!I166+a.4.Sannicolau!I166+a.4.Faget!I166+a.4.Buzias!I166</f>
        <v>165879.53</v>
      </c>
      <c r="I166" s="432">
        <f>a.4.Timisoara!J166+a.4.Loc.TM!J166+a.4.Deta!J166+a.4.Jimbolia!J166+a.4.Sannicolau!J166+a.4.Faget!J166+a.4.Buzias!J166</f>
        <v>45081.34</v>
      </c>
      <c r="J166" s="432">
        <f>a.4.Timisoara!K166+a.4.Loc.TM!K166+a.4.Deta!K166+a.4.Jimbolia!K166+a.4.Sannicolau!K166+a.4.Faget!K166+a.4.Buzias!K166</f>
        <v>39776.67</v>
      </c>
      <c r="K166" s="432">
        <f>a.4.Timisoara!L166+a.4.Loc.TM!L166+a.4.Deta!L166+a.4.Jimbolia!L166+a.4.Sannicolau!L166+a.4.Faget!L166+a.4.Buzias!L166</f>
        <v>38681.519999999997</v>
      </c>
      <c r="L166" s="432">
        <f>a.4.Timisoara!M166+a.4.Loc.TM!M166+a.4.Deta!M166+a.4.Jimbolia!M166+a.4.Sannicolau!M166+a.4.Faget!M166+a.4.Buzias!M166</f>
        <v>42340</v>
      </c>
      <c r="M166" s="405">
        <f t="shared" ref="M166:O166" si="71">SUM(M167:M168)</f>
        <v>230697</v>
      </c>
      <c r="N166" s="405">
        <f t="shared" ref="N166" si="72">SUM(N167:N168)</f>
        <v>0</v>
      </c>
      <c r="O166" s="405">
        <f t="shared" si="71"/>
        <v>230697</v>
      </c>
      <c r="P166" s="734">
        <v>165879.53</v>
      </c>
      <c r="Q166" s="114">
        <f t="shared" si="61"/>
        <v>0</v>
      </c>
    </row>
    <row r="167" spans="1:17" ht="13.5" thickBot="1" x14ac:dyDescent="0.25">
      <c r="A167" s="978"/>
      <c r="B167" s="1019"/>
      <c r="C167" s="71"/>
      <c r="D167" s="973" t="s">
        <v>211</v>
      </c>
      <c r="E167" s="974"/>
      <c r="F167" s="275">
        <v>6581</v>
      </c>
      <c r="G167" s="84">
        <f t="shared" si="62"/>
        <v>122</v>
      </c>
      <c r="H167" s="531">
        <f>a.4.Timisoara!I167+a.4.Loc.TM!I167+a.4.Deta!I167+a.4.Jimbolia!I167+a.4.Sannicolau!I167+a.4.Faget!I167+a.4.Buzias!I167</f>
        <v>80000</v>
      </c>
      <c r="I167" s="432">
        <f>a.4.Timisoara!J167+a.4.Loc.TM!J167+a.4.Deta!J167+a.4.Jimbolia!J167+a.4.Sannicolau!J167+a.4.Faget!J167+a.4.Buzias!J167</f>
        <v>20000</v>
      </c>
      <c r="J167" s="432">
        <f>a.4.Timisoara!K167+a.4.Loc.TM!K167+a.4.Deta!K167+a.4.Jimbolia!K167+a.4.Sannicolau!K167+a.4.Faget!K167+a.4.Buzias!K167</f>
        <v>20000</v>
      </c>
      <c r="K167" s="432">
        <f>a.4.Timisoara!L167+a.4.Loc.TM!L167+a.4.Deta!L167+a.4.Jimbolia!L167+a.4.Sannicolau!L167+a.4.Faget!L167+a.4.Buzias!L167</f>
        <v>20000</v>
      </c>
      <c r="L167" s="432">
        <f>a.4.Timisoara!M167+a.4.Loc.TM!M167+a.4.Deta!M167+a.4.Jimbolia!M167+a.4.Sannicolau!M167+a.4.Faget!M167+a.4.Buzias!M167</f>
        <v>20000</v>
      </c>
      <c r="M167" s="405">
        <f>4106+121412</f>
        <v>125518</v>
      </c>
      <c r="N167" s="405"/>
      <c r="O167" s="405">
        <f>SUM(M167:N167)</f>
        <v>125518</v>
      </c>
      <c r="P167" s="734">
        <v>80000</v>
      </c>
      <c r="Q167" s="114">
        <f t="shared" si="61"/>
        <v>0</v>
      </c>
    </row>
    <row r="168" spans="1:17" ht="13.5" thickBot="1" x14ac:dyDescent="0.25">
      <c r="A168" s="978"/>
      <c r="B168" s="1019"/>
      <c r="C168" s="71"/>
      <c r="D168" s="973" t="s">
        <v>212</v>
      </c>
      <c r="E168" s="974"/>
      <c r="F168" s="275" t="s">
        <v>653</v>
      </c>
      <c r="G168" s="84">
        <f t="shared" si="62"/>
        <v>123</v>
      </c>
      <c r="H168" s="531">
        <f>a.4.Timisoara!I168+a.4.Loc.TM!I168+a.4.Deta!I168+a.4.Jimbolia!I168+a.4.Sannicolau!I168+a.4.Faget!I168+a.4.Buzias!I168</f>
        <v>85879.53</v>
      </c>
      <c r="I168" s="432">
        <f>a.4.Timisoara!J168+a.4.Loc.TM!J168+a.4.Deta!J168+a.4.Jimbolia!J168+a.4.Sannicolau!J168+a.4.Faget!J168+a.4.Buzias!J168</f>
        <v>25081.34</v>
      </c>
      <c r="J168" s="432">
        <f>a.4.Timisoara!K168+a.4.Loc.TM!K168+a.4.Deta!K168+a.4.Jimbolia!K168+a.4.Sannicolau!K168+a.4.Faget!K168+a.4.Buzias!K168</f>
        <v>19776.669999999998</v>
      </c>
      <c r="K168" s="432">
        <f>a.4.Timisoara!L168+a.4.Loc.TM!L168+a.4.Deta!L168+a.4.Jimbolia!L168+a.4.Sannicolau!L168+a.4.Faget!L168+a.4.Buzias!L168</f>
        <v>18681.52</v>
      </c>
      <c r="L168" s="432">
        <f>a.4.Timisoara!M168+a.4.Loc.TM!M168+a.4.Deta!M168+a.4.Jimbolia!M168+a.4.Sannicolau!M168+a.4.Faget!M168+a.4.Buzias!M168</f>
        <v>22340</v>
      </c>
      <c r="M168" s="405">
        <f>105179</f>
        <v>105179</v>
      </c>
      <c r="N168" s="405"/>
      <c r="O168" s="405">
        <f t="shared" ref="O168:O172" si="73">SUM(M168:N168)</f>
        <v>105179</v>
      </c>
      <c r="P168" s="734">
        <v>85879.53</v>
      </c>
      <c r="Q168" s="114">
        <f t="shared" si="61"/>
        <v>0</v>
      </c>
    </row>
    <row r="169" spans="1:17" ht="13.5" thickBot="1" x14ac:dyDescent="0.25">
      <c r="A169" s="979"/>
      <c r="B169" s="1020"/>
      <c r="C169" s="71" t="s">
        <v>38</v>
      </c>
      <c r="D169" s="973" t="s">
        <v>213</v>
      </c>
      <c r="E169" s="974"/>
      <c r="F169" s="275">
        <v>653</v>
      </c>
      <c r="G169" s="84">
        <f t="shared" si="62"/>
        <v>124</v>
      </c>
      <c r="H169" s="531">
        <f>a.4.Timisoara!I169+a.4.Loc.TM!I169+a.4.Deta!I169+a.4.Jimbolia!I169+a.4.Sannicolau!I169+a.4.Faget!I169+a.4.Buzias!I169</f>
        <v>0</v>
      </c>
      <c r="I169" s="432">
        <f>a.4.Timisoara!J169+a.4.Loc.TM!J169+a.4.Deta!J169+a.4.Jimbolia!J169+a.4.Sannicolau!J169+a.4.Faget!J169+a.4.Buzias!J169</f>
        <v>0</v>
      </c>
      <c r="J169" s="432">
        <f>a.4.Timisoara!K169+a.4.Loc.TM!K169+a.4.Deta!K169+a.4.Jimbolia!K169+a.4.Sannicolau!K169+a.4.Faget!K169+a.4.Buzias!K169</f>
        <v>0</v>
      </c>
      <c r="K169" s="432">
        <f>a.4.Timisoara!L169+a.4.Loc.TM!L169+a.4.Deta!L169+a.4.Jimbolia!L169+a.4.Sannicolau!L169+a.4.Faget!L169+a.4.Buzias!L169</f>
        <v>0</v>
      </c>
      <c r="L169" s="432">
        <f>a.4.Timisoara!M169+a.4.Loc.TM!M169+a.4.Deta!M169+a.4.Jimbolia!M169+a.4.Sannicolau!M169+a.4.Faget!M169+a.4.Buzias!M169</f>
        <v>0</v>
      </c>
      <c r="M169" s="405">
        <f>1264+64</f>
        <v>1328</v>
      </c>
      <c r="N169" s="405"/>
      <c r="O169" s="405">
        <f t="shared" si="73"/>
        <v>1328</v>
      </c>
      <c r="P169" s="734">
        <v>0</v>
      </c>
      <c r="Q169" s="114">
        <f t="shared" si="61"/>
        <v>0</v>
      </c>
    </row>
    <row r="170" spans="1:17" ht="13.5" thickBot="1" x14ac:dyDescent="0.25">
      <c r="A170" s="977"/>
      <c r="B170" s="1018"/>
      <c r="C170" s="71" t="s">
        <v>40</v>
      </c>
      <c r="D170" s="973" t="s">
        <v>287</v>
      </c>
      <c r="E170" s="974"/>
      <c r="F170" s="275"/>
      <c r="G170" s="84">
        <f t="shared" si="62"/>
        <v>125</v>
      </c>
      <c r="H170" s="531">
        <f>a.4.Timisoara!I170+a.4.Loc.TM!I170+a.4.Deta!I170+a.4.Jimbolia!I170+a.4.Sannicolau!I170+a.4.Faget!I170+a.4.Buzias!I170</f>
        <v>0</v>
      </c>
      <c r="I170" s="432">
        <f>a.4.Timisoara!J170+a.4.Loc.TM!J170+a.4.Deta!J170+a.4.Jimbolia!J170+a.4.Sannicolau!J170+a.4.Faget!J170+a.4.Buzias!J170</f>
        <v>0</v>
      </c>
      <c r="J170" s="432">
        <f>a.4.Timisoara!K170+a.4.Loc.TM!K170+a.4.Deta!K170+a.4.Jimbolia!K170+a.4.Sannicolau!K170+a.4.Faget!K170+a.4.Buzias!K170</f>
        <v>0</v>
      </c>
      <c r="K170" s="432">
        <f>a.4.Timisoara!L170+a.4.Loc.TM!L170+a.4.Deta!L170+a.4.Jimbolia!L170+a.4.Sannicolau!L170+a.4.Faget!L170+a.4.Buzias!L170</f>
        <v>0</v>
      </c>
      <c r="L170" s="432">
        <f>a.4.Timisoara!M170+a.4.Loc.TM!M170+a.4.Deta!M170+a.4.Jimbolia!M170+a.4.Sannicolau!M170+a.4.Faget!M170+a.4.Buzias!M170</f>
        <v>0</v>
      </c>
      <c r="M170" s="405"/>
      <c r="N170" s="405"/>
      <c r="O170" s="405">
        <f t="shared" si="73"/>
        <v>0</v>
      </c>
      <c r="P170" s="734">
        <v>0</v>
      </c>
      <c r="Q170" s="114">
        <f t="shared" si="61"/>
        <v>0</v>
      </c>
    </row>
    <row r="171" spans="1:17" ht="13.5" thickBot="1" x14ac:dyDescent="0.25">
      <c r="A171" s="978"/>
      <c r="B171" s="1019"/>
      <c r="C171" s="71" t="s">
        <v>42</v>
      </c>
      <c r="D171" s="973" t="s">
        <v>149</v>
      </c>
      <c r="E171" s="974"/>
      <c r="F171" s="275">
        <v>658</v>
      </c>
      <c r="G171" s="84">
        <f t="shared" si="62"/>
        <v>126</v>
      </c>
      <c r="H171" s="531">
        <f>a.4.Timisoara!I171+a.4.Loc.TM!I171+a.4.Deta!I171+a.4.Jimbolia!I171+a.4.Sannicolau!I171+a.4.Faget!I171+a.4.Buzias!I171</f>
        <v>404.49</v>
      </c>
      <c r="I171" s="432">
        <f>a.4.Timisoara!J171+a.4.Loc.TM!J171+a.4.Deta!J171+a.4.Jimbolia!J171+a.4.Sannicolau!J171+a.4.Faget!J171+a.4.Buzias!J171</f>
        <v>101.49</v>
      </c>
      <c r="J171" s="432">
        <f>a.4.Timisoara!K171+a.4.Loc.TM!K171+a.4.Deta!K171+a.4.Jimbolia!K171+a.4.Sannicolau!K171+a.4.Faget!K171+a.4.Buzias!K171</f>
        <v>101</v>
      </c>
      <c r="K171" s="432">
        <f>a.4.Timisoara!L171+a.4.Loc.TM!L171+a.4.Deta!L171+a.4.Jimbolia!L171+a.4.Sannicolau!L171+a.4.Faget!L171+a.4.Buzias!L171</f>
        <v>101</v>
      </c>
      <c r="L171" s="432">
        <f>a.4.Timisoara!M171+a.4.Loc.TM!M171+a.4.Deta!M171+a.4.Jimbolia!M171+a.4.Sannicolau!M171+a.4.Faget!M171+a.4.Buzias!M171</f>
        <v>101</v>
      </c>
      <c r="M171" s="405">
        <f>256996+35522</f>
        <v>292518</v>
      </c>
      <c r="N171" s="405">
        <v>10840</v>
      </c>
      <c r="O171" s="405">
        <f t="shared" si="73"/>
        <v>303358</v>
      </c>
      <c r="P171" s="734">
        <v>404.49</v>
      </c>
      <c r="Q171" s="114">
        <f t="shared" si="61"/>
        <v>0</v>
      </c>
    </row>
    <row r="172" spans="1:17" ht="13.5" thickBot="1" x14ac:dyDescent="0.25">
      <c r="A172" s="978"/>
      <c r="B172" s="1019"/>
      <c r="C172" s="71" t="s">
        <v>28</v>
      </c>
      <c r="D172" s="973" t="s">
        <v>288</v>
      </c>
      <c r="E172" s="974"/>
      <c r="F172" s="275">
        <v>681</v>
      </c>
      <c r="G172" s="84">
        <f t="shared" si="62"/>
        <v>127</v>
      </c>
      <c r="H172" s="531">
        <f>a.4.Timisoara!I172+a.4.Loc.TM!I172+a.4.Deta!I172+a.4.Jimbolia!I172+a.4.Sannicolau!I172+a.4.Faget!I172+a.4.Buzias!I172</f>
        <v>7816803.1900000004</v>
      </c>
      <c r="I172" s="432">
        <f>a.4.Timisoara!J172+a.4.Loc.TM!J172+a.4.Deta!J172+a.4.Jimbolia!J172+a.4.Sannicolau!J172+a.4.Faget!J172+a.4.Buzias!J172</f>
        <v>1825850.73</v>
      </c>
      <c r="J172" s="432">
        <f>a.4.Timisoara!K172+a.4.Loc.TM!K172+a.4.Deta!K172+a.4.Jimbolia!K172+a.4.Sannicolau!K172+a.4.Faget!K172+a.4.Buzias!K172</f>
        <v>1886350.73</v>
      </c>
      <c r="K172" s="432">
        <f>a.4.Timisoara!L172+a.4.Loc.TM!L172+a.4.Deta!L172+a.4.Jimbolia!L172+a.4.Sannicolau!L172+a.4.Faget!L172+a.4.Buzias!L172</f>
        <v>1916350.73</v>
      </c>
      <c r="L172" s="432">
        <f>a.4.Timisoara!M172+a.4.Loc.TM!M172+a.4.Deta!M172+a.4.Jimbolia!M172+a.4.Sannicolau!M172+a.4.Faget!M172+a.4.Buzias!M172</f>
        <v>2188251</v>
      </c>
      <c r="M172" s="405">
        <f>6485887</f>
        <v>6485887</v>
      </c>
      <c r="N172" s="405">
        <f>599447+13762</f>
        <v>613209</v>
      </c>
      <c r="O172" s="405">
        <f t="shared" si="73"/>
        <v>7099096</v>
      </c>
      <c r="P172" s="734">
        <v>7816803.1900000004</v>
      </c>
      <c r="Q172" s="114">
        <f t="shared" si="61"/>
        <v>0</v>
      </c>
    </row>
    <row r="173" spans="1:17" ht="24.75" customHeight="1" thickBot="1" x14ac:dyDescent="0.25">
      <c r="A173" s="978"/>
      <c r="B173" s="1020"/>
      <c r="C173" s="71" t="s">
        <v>34</v>
      </c>
      <c r="D173" s="973" t="s">
        <v>345</v>
      </c>
      <c r="E173" s="974"/>
      <c r="F173" s="275"/>
      <c r="G173" s="84">
        <f t="shared" si="62"/>
        <v>128</v>
      </c>
      <c r="H173" s="432">
        <f>a.4.Timisoara!I173+a.4.Loc.TM!I173+a.4.Deta!I173+a.4.Jimbolia!I173+a.4.Sannicolau!I173+a.4.Faget!I173+a.4.Buzias!I173</f>
        <v>1369516.4</v>
      </c>
      <c r="I173" s="432">
        <f>a.4.Timisoara!J173+a.4.Loc.TM!J173+a.4.Deta!J173+a.4.Jimbolia!J173+a.4.Sannicolau!J173+a.4.Faget!J173+a.4.Buzias!J173</f>
        <v>-145941.16</v>
      </c>
      <c r="J173" s="432">
        <f>a.4.Timisoara!K173+a.4.Loc.TM!K173+a.4.Deta!K173+a.4.Jimbolia!K173+a.4.Sannicolau!K173+a.4.Faget!K173+a.4.Buzias!K173</f>
        <v>-2400256.3199999998</v>
      </c>
      <c r="K173" s="432">
        <f>a.4.Timisoara!L173+a.4.Loc.TM!L173+a.4.Deta!L173+a.4.Jimbolia!L173+a.4.Sannicolau!L173+a.4.Faget!L173+a.4.Buzias!L173</f>
        <v>-102604.12</v>
      </c>
      <c r="L173" s="432">
        <f>a.4.Timisoara!M173+a.4.Loc.TM!M173+a.4.Deta!M173+a.4.Jimbolia!M173+a.4.Sannicolau!M173+a.4.Faget!M173+a.4.Buzias!M173</f>
        <v>4018318</v>
      </c>
      <c r="M173" s="405">
        <f t="shared" ref="M173:O173" si="74">M174-M177</f>
        <v>-2869708</v>
      </c>
      <c r="N173" s="405">
        <f t="shared" ref="N173" si="75">N174-N177</f>
        <v>6295953</v>
      </c>
      <c r="O173" s="405">
        <f t="shared" si="74"/>
        <v>3426245</v>
      </c>
      <c r="P173" s="496">
        <v>1369516.4</v>
      </c>
      <c r="Q173" s="114">
        <f t="shared" si="61"/>
        <v>0</v>
      </c>
    </row>
    <row r="174" spans="1:17" ht="27" customHeight="1" thickBot="1" x14ac:dyDescent="0.25">
      <c r="A174" s="978"/>
      <c r="B174" s="71"/>
      <c r="C174" s="71"/>
      <c r="D174" s="71" t="s">
        <v>51</v>
      </c>
      <c r="E174" s="71" t="s">
        <v>460</v>
      </c>
      <c r="F174" s="86">
        <v>6814</v>
      </c>
      <c r="G174" s="84">
        <f t="shared" si="62"/>
        <v>129</v>
      </c>
      <c r="H174" s="432">
        <f>a.4.Timisoara!I174+a.4.Loc.TM!I174+a.4.Deta!I174+a.4.Jimbolia!I174+a.4.Sannicolau!I174+a.4.Faget!I174+a.4.Buzias!I174</f>
        <v>4460000</v>
      </c>
      <c r="I174" s="432">
        <f>a.4.Timisoara!J174+a.4.Loc.TM!J174+a.4.Deta!J174+a.4.Jimbolia!J174+a.4.Sannicolau!J174+a.4.Faget!J174+a.4.Buzias!J174</f>
        <v>0</v>
      </c>
      <c r="J174" s="432">
        <f>a.4.Timisoara!K174+a.4.Loc.TM!K174+a.4.Deta!K174+a.4.Jimbolia!K174+a.4.Sannicolau!K174+a.4.Faget!K174+a.4.Buzias!K174</f>
        <v>0</v>
      </c>
      <c r="K174" s="432">
        <f>a.4.Timisoara!L174+a.4.Loc.TM!L174+a.4.Deta!L174+a.4.Jimbolia!L174+a.4.Sannicolau!L174+a.4.Faget!L174+a.4.Buzias!L174</f>
        <v>0</v>
      </c>
      <c r="L174" s="432">
        <f>a.4.Timisoara!M174+a.4.Loc.TM!M174+a.4.Deta!M174+a.4.Jimbolia!M174+a.4.Sannicolau!M174+a.4.Faget!M174+a.4.Buzias!M174</f>
        <v>4460000</v>
      </c>
      <c r="M174" s="405"/>
      <c r="N174" s="531">
        <v>7000000</v>
      </c>
      <c r="O174" s="405">
        <f>SUM(M174:N174)</f>
        <v>7000000</v>
      </c>
      <c r="P174" s="496">
        <v>4460000</v>
      </c>
      <c r="Q174" s="114">
        <f t="shared" si="61"/>
        <v>0</v>
      </c>
    </row>
    <row r="175" spans="1:17" ht="21.75" customHeight="1" thickBot="1" x14ac:dyDescent="0.25">
      <c r="A175" s="978"/>
      <c r="B175" s="71"/>
      <c r="C175" s="71"/>
      <c r="D175" s="306" t="s">
        <v>416</v>
      </c>
      <c r="E175" s="310" t="s">
        <v>417</v>
      </c>
      <c r="F175" s="311" t="s">
        <v>654</v>
      </c>
      <c r="G175" s="308">
        <f t="shared" si="62"/>
        <v>130</v>
      </c>
      <c r="H175" s="437">
        <f>a.4.Timisoara!I175+a.4.Loc.TM!I175+a.4.Deta!I175+a.4.Jimbolia!I175+a.4.Sannicolau!I175+a.4.Faget!I175+a.4.Buzias!I175</f>
        <v>2300000</v>
      </c>
      <c r="I175" s="437">
        <f>a.4.Timisoara!J175+a.4.Loc.TM!J175+a.4.Deta!J175+a.4.Jimbolia!J175+a.4.Sannicolau!J175+a.4.Faget!J175+a.4.Buzias!J175</f>
        <v>0</v>
      </c>
      <c r="J175" s="437">
        <f>a.4.Timisoara!K175+a.4.Loc.TM!K175+a.4.Deta!K175+a.4.Jimbolia!K175+a.4.Sannicolau!K175+a.4.Faget!K175+a.4.Buzias!K175</f>
        <v>0</v>
      </c>
      <c r="K175" s="437">
        <f>a.4.Timisoara!L175+a.4.Loc.TM!L175+a.4.Deta!L175+a.4.Jimbolia!L175+a.4.Sannicolau!L175+a.4.Faget!L175+a.4.Buzias!L175</f>
        <v>0</v>
      </c>
      <c r="L175" s="437">
        <f>a.4.Timisoara!M175+a.4.Loc.TM!M175+a.4.Deta!M175+a.4.Jimbolia!M175+a.4.Sannicolau!M175+a.4.Faget!M175+a.4.Buzias!M175</f>
        <v>2300000</v>
      </c>
      <c r="M175" s="405"/>
      <c r="N175" s="531">
        <v>2300000</v>
      </c>
      <c r="O175" s="405">
        <f t="shared" ref="O175:O176" si="76">SUM(M175:N175)</f>
        <v>2300000</v>
      </c>
      <c r="P175" s="438">
        <v>2300000</v>
      </c>
      <c r="Q175" s="114">
        <f t="shared" si="61"/>
        <v>0</v>
      </c>
    </row>
    <row r="176" spans="1:17" ht="21.75" customHeight="1" thickBot="1" x14ac:dyDescent="0.25">
      <c r="A176" s="978"/>
      <c r="B176" s="71"/>
      <c r="C176" s="71"/>
      <c r="D176" s="306" t="s">
        <v>418</v>
      </c>
      <c r="E176" s="316" t="s">
        <v>419</v>
      </c>
      <c r="F176" s="317"/>
      <c r="G176" s="109" t="s">
        <v>420</v>
      </c>
      <c r="H176" s="437">
        <f>a.4.Timisoara!I176+a.4.Loc.TM!I176+a.4.Deta!I176+a.4.Jimbolia!I176+a.4.Sannicolau!I176+a.4.Faget!I176+a.4.Buzias!I176</f>
        <v>0</v>
      </c>
      <c r="I176" s="437">
        <f>a.4.Timisoara!J176+a.4.Loc.TM!J176+a.4.Deta!J176+a.4.Jimbolia!J176+a.4.Sannicolau!J176+a.4.Faget!J176+a.4.Buzias!J176</f>
        <v>0</v>
      </c>
      <c r="J176" s="437">
        <f>a.4.Timisoara!K176+a.4.Loc.TM!K176+a.4.Deta!K176+a.4.Jimbolia!K176+a.4.Sannicolau!K176+a.4.Faget!K176+a.4.Buzias!K176</f>
        <v>0</v>
      </c>
      <c r="K176" s="437">
        <f>a.4.Timisoara!L176+a.4.Loc.TM!L176+a.4.Deta!L176+a.4.Jimbolia!L176+a.4.Sannicolau!L176+a.4.Faget!L176+a.4.Buzias!L176</f>
        <v>0</v>
      </c>
      <c r="L176" s="437">
        <f>a.4.Timisoara!M176+a.4.Loc.TM!M176+a.4.Deta!M176+a.4.Jimbolia!M176+a.4.Sannicolau!M176+a.4.Faget!M176+a.4.Buzias!M176</f>
        <v>0</v>
      </c>
      <c r="M176" s="405"/>
      <c r="N176" s="405"/>
      <c r="O176" s="405">
        <f t="shared" si="76"/>
        <v>0</v>
      </c>
      <c r="P176" s="438">
        <v>0</v>
      </c>
      <c r="Q176" s="114">
        <f t="shared" si="61"/>
        <v>0</v>
      </c>
    </row>
    <row r="177" spans="1:17" ht="27.75" customHeight="1" thickBot="1" x14ac:dyDescent="0.25">
      <c r="A177" s="978"/>
      <c r="B177" s="71"/>
      <c r="C177" s="71"/>
      <c r="D177" s="318" t="s">
        <v>52</v>
      </c>
      <c r="E177" s="71" t="s">
        <v>346</v>
      </c>
      <c r="F177" s="86">
        <v>781</v>
      </c>
      <c r="G177" s="84">
        <v>131</v>
      </c>
      <c r="H177" s="432">
        <f>a.4.Timisoara!I177+a.4.Loc.TM!I177+a.4.Deta!I177+a.4.Jimbolia!I177+a.4.Sannicolau!I177+a.4.Faget!I177+a.4.Buzias!I177</f>
        <v>3090483.6</v>
      </c>
      <c r="I177" s="432">
        <f>a.4.Timisoara!J177+a.4.Loc.TM!J177+a.4.Deta!J177+a.4.Jimbolia!J177+a.4.Sannicolau!J177+a.4.Faget!J177+a.4.Buzias!J177</f>
        <v>145941.16</v>
      </c>
      <c r="J177" s="432">
        <f>a.4.Timisoara!K177+a.4.Loc.TM!K177+a.4.Deta!K177+a.4.Jimbolia!K177+a.4.Sannicolau!K177+a.4.Faget!K177+a.4.Buzias!K177</f>
        <v>2400256.3199999998</v>
      </c>
      <c r="K177" s="432">
        <f>a.4.Timisoara!L177+a.4.Loc.TM!L177+a.4.Deta!L177+a.4.Jimbolia!L177+a.4.Sannicolau!L177+a.4.Faget!L177+a.4.Buzias!L177</f>
        <v>102604.12</v>
      </c>
      <c r="L177" s="432">
        <f>a.4.Timisoara!M177+a.4.Loc.TM!M177+a.4.Deta!M177+a.4.Jimbolia!M177+a.4.Sannicolau!M177+a.4.Faget!M177+a.4.Buzias!M177</f>
        <v>441682</v>
      </c>
      <c r="M177" s="405">
        <f t="shared" ref="M177:O177" si="77">M178</f>
        <v>2869708</v>
      </c>
      <c r="N177" s="405">
        <f t="shared" si="77"/>
        <v>704047</v>
      </c>
      <c r="O177" s="405">
        <f t="shared" si="77"/>
        <v>3573755</v>
      </c>
      <c r="P177" s="496">
        <v>3090483.6</v>
      </c>
      <c r="Q177" s="114">
        <f t="shared" si="61"/>
        <v>0</v>
      </c>
    </row>
    <row r="178" spans="1:17" ht="25.5" customHeight="1" thickBot="1" x14ac:dyDescent="0.25">
      <c r="A178" s="978"/>
      <c r="B178" s="71"/>
      <c r="C178" s="71"/>
      <c r="D178" s="318" t="s">
        <v>65</v>
      </c>
      <c r="E178" s="71" t="s">
        <v>459</v>
      </c>
      <c r="F178" s="86">
        <v>7814</v>
      </c>
      <c r="G178" s="84">
        <f t="shared" ref="G178:G194" si="78">G177+1</f>
        <v>132</v>
      </c>
      <c r="H178" s="432">
        <f>a.4.Timisoara!I178+a.4.Loc.TM!I178+a.4.Deta!I178+a.4.Jimbolia!I178+a.4.Sannicolau!I178+a.4.Faget!I178+a.4.Buzias!I178</f>
        <v>3090483.6</v>
      </c>
      <c r="I178" s="432">
        <f>a.4.Timisoara!J178+a.4.Loc.TM!J178+a.4.Deta!J178+a.4.Jimbolia!J178+a.4.Sannicolau!J178+a.4.Faget!J178+a.4.Buzias!J178</f>
        <v>145941.16</v>
      </c>
      <c r="J178" s="432">
        <f>a.4.Timisoara!K178+a.4.Loc.TM!K178+a.4.Deta!K178+a.4.Jimbolia!K178+a.4.Sannicolau!K178+a.4.Faget!K178+a.4.Buzias!K178</f>
        <v>2400256.3199999998</v>
      </c>
      <c r="K178" s="432">
        <f>a.4.Timisoara!L178+a.4.Loc.TM!L178+a.4.Deta!L178+a.4.Jimbolia!L178+a.4.Sannicolau!L178+a.4.Faget!L178+a.4.Buzias!L178</f>
        <v>102604.12</v>
      </c>
      <c r="L178" s="432">
        <f>a.4.Timisoara!M178+a.4.Loc.TM!M178+a.4.Deta!M178+a.4.Jimbolia!M178+a.4.Sannicolau!M178+a.4.Faget!M178+a.4.Buzias!M178</f>
        <v>441682</v>
      </c>
      <c r="M178" s="405">
        <f t="shared" ref="M178:O178" si="79">M179+M180+M181</f>
        <v>2869708</v>
      </c>
      <c r="N178" s="405">
        <f t="shared" ref="N178" si="80">N179+N180+N181</f>
        <v>704047</v>
      </c>
      <c r="O178" s="405">
        <f t="shared" si="79"/>
        <v>3573755</v>
      </c>
      <c r="P178" s="496">
        <v>3090483.6</v>
      </c>
      <c r="Q178" s="114">
        <f t="shared" si="61"/>
        <v>0</v>
      </c>
    </row>
    <row r="179" spans="1:17" ht="21.75" customHeight="1" thickBot="1" x14ac:dyDescent="0.25">
      <c r="A179" s="978"/>
      <c r="B179" s="71"/>
      <c r="C179" s="71"/>
      <c r="D179" s="71"/>
      <c r="E179" s="71" t="s">
        <v>426</v>
      </c>
      <c r="F179" s="86">
        <v>7812</v>
      </c>
      <c r="G179" s="84">
        <f t="shared" si="78"/>
        <v>133</v>
      </c>
      <c r="H179" s="432">
        <f>a.4.Timisoara!I179+a.4.Loc.TM!I179+a.4.Deta!I179+a.4.Jimbolia!I179+a.4.Sannicolau!I179+a.4.Faget!I179+a.4.Buzias!I179</f>
        <v>2300000</v>
      </c>
      <c r="I179" s="432">
        <f>a.4.Timisoara!J179+a.4.Loc.TM!J179+a.4.Deta!J179+a.4.Jimbolia!J179+a.4.Sannicolau!J179+a.4.Faget!J179+a.4.Buzias!J179</f>
        <v>0</v>
      </c>
      <c r="J179" s="432">
        <f>a.4.Timisoara!K179+a.4.Loc.TM!K179+a.4.Deta!K179+a.4.Jimbolia!K179+a.4.Sannicolau!K179+a.4.Faget!K179+a.4.Buzias!K179</f>
        <v>2300000</v>
      </c>
      <c r="K179" s="432">
        <f>a.4.Timisoara!L179+a.4.Loc.TM!L179+a.4.Deta!L179+a.4.Jimbolia!L179+a.4.Sannicolau!L179+a.4.Faget!L179+a.4.Buzias!L179</f>
        <v>0</v>
      </c>
      <c r="L179" s="432">
        <f>a.4.Timisoara!M179+a.4.Loc.TM!M179+a.4.Deta!M179+a.4.Jimbolia!M179+a.4.Sannicolau!M179+a.4.Faget!M179+a.4.Buzias!M179</f>
        <v>0</v>
      </c>
      <c r="M179" s="405">
        <v>2100000</v>
      </c>
      <c r="N179" s="405"/>
      <c r="O179" s="405">
        <f>SUM(M179:N179)</f>
        <v>2100000</v>
      </c>
      <c r="P179" s="496">
        <v>2300000</v>
      </c>
      <c r="Q179" s="114">
        <f t="shared" si="61"/>
        <v>0</v>
      </c>
    </row>
    <row r="180" spans="1:17" ht="25.5" customHeight="1" thickBot="1" x14ac:dyDescent="0.25">
      <c r="A180" s="978"/>
      <c r="B180" s="71"/>
      <c r="C180" s="71"/>
      <c r="D180" s="71"/>
      <c r="E180" s="71" t="s">
        <v>347</v>
      </c>
      <c r="F180" s="86"/>
      <c r="G180" s="84">
        <f t="shared" si="78"/>
        <v>134</v>
      </c>
      <c r="H180" s="432">
        <f>a.4.Timisoara!I180+a.4.Loc.TM!I180+a.4.Deta!I180+a.4.Jimbolia!I180+a.4.Sannicolau!I180+a.4.Faget!I180+a.4.Buzias!I180</f>
        <v>748006</v>
      </c>
      <c r="I180" s="432">
        <f>a.4.Timisoara!J180+a.4.Loc.TM!J180+a.4.Deta!J180+a.4.Jimbolia!J180+a.4.Sannicolau!J180+a.4.Faget!J180+a.4.Buzias!J180</f>
        <v>134854</v>
      </c>
      <c r="J180" s="432">
        <f>a.4.Timisoara!K180+a.4.Loc.TM!K180+a.4.Deta!K180+a.4.Jimbolia!K180+a.4.Sannicolau!K180+a.4.Faget!K180+a.4.Buzias!K180</f>
        <v>90824</v>
      </c>
      <c r="K180" s="432">
        <f>a.4.Timisoara!L180+a.4.Loc.TM!L180+a.4.Deta!L180+a.4.Jimbolia!L180+a.4.Sannicolau!L180+a.4.Faget!L180+a.4.Buzias!L180</f>
        <v>92125</v>
      </c>
      <c r="L180" s="432">
        <f>a.4.Timisoara!M180+a.4.Loc.TM!M180+a.4.Deta!M180+a.4.Jimbolia!M180+a.4.Sannicolau!M180+a.4.Faget!M180+a.4.Buzias!M180</f>
        <v>430203</v>
      </c>
      <c r="M180" s="405">
        <f>753982</f>
        <v>753982</v>
      </c>
      <c r="N180" s="405">
        <v>25000</v>
      </c>
      <c r="O180" s="405">
        <f>SUM(M180:N180)</f>
        <v>778982</v>
      </c>
      <c r="P180" s="496">
        <v>748006</v>
      </c>
      <c r="Q180" s="114">
        <f t="shared" si="61"/>
        <v>0</v>
      </c>
    </row>
    <row r="181" spans="1:17" ht="21.75" customHeight="1" thickBot="1" x14ac:dyDescent="0.25">
      <c r="A181" s="978"/>
      <c r="B181" s="71"/>
      <c r="C181" s="71"/>
      <c r="D181" s="71"/>
      <c r="E181" s="71" t="s">
        <v>348</v>
      </c>
      <c r="F181" s="86"/>
      <c r="G181" s="84">
        <f t="shared" si="78"/>
        <v>135</v>
      </c>
      <c r="H181" s="432">
        <f>a.4.Timisoara!I181+a.4.Loc.TM!I181+a.4.Deta!I181+a.4.Jimbolia!I181+a.4.Sannicolau!I181+a.4.Faget!I181+a.4.Buzias!I181</f>
        <v>42477.599999999999</v>
      </c>
      <c r="I181" s="432">
        <f>a.4.Timisoara!J181+a.4.Loc.TM!J181+a.4.Deta!J181+a.4.Jimbolia!J181+a.4.Sannicolau!J181+a.4.Faget!J181+a.4.Buzias!J181</f>
        <v>11087.16</v>
      </c>
      <c r="J181" s="432">
        <f>a.4.Timisoara!K181+a.4.Loc.TM!K181+a.4.Deta!K181+a.4.Jimbolia!K181+a.4.Sannicolau!K181+a.4.Faget!K181+a.4.Buzias!K181</f>
        <v>9432.32</v>
      </c>
      <c r="K181" s="432">
        <f>a.4.Timisoara!L181+a.4.Loc.TM!L181+a.4.Deta!L181+a.4.Jimbolia!L181+a.4.Sannicolau!L181+a.4.Faget!L181+a.4.Buzias!L181</f>
        <v>10479.120000000001</v>
      </c>
      <c r="L181" s="432">
        <f>a.4.Timisoara!M181+a.4.Loc.TM!M181+a.4.Deta!M181+a.4.Jimbolia!M181+a.4.Sannicolau!M181+a.4.Faget!M181+a.4.Buzias!M181</f>
        <v>11479</v>
      </c>
      <c r="M181" s="405">
        <v>15726</v>
      </c>
      <c r="N181" s="405">
        <v>679047</v>
      </c>
      <c r="O181" s="405">
        <f>SUM(M181:N181)</f>
        <v>694773</v>
      </c>
      <c r="P181" s="496">
        <v>42477.599999999999</v>
      </c>
      <c r="Q181" s="114">
        <f t="shared" si="61"/>
        <v>0</v>
      </c>
    </row>
    <row r="182" spans="1:17" ht="13.5" thickBot="1" x14ac:dyDescent="0.25">
      <c r="A182" s="978"/>
      <c r="B182" s="282" t="s">
        <v>21</v>
      </c>
      <c r="C182" s="282"/>
      <c r="D182" s="1023" t="s">
        <v>471</v>
      </c>
      <c r="E182" s="1025"/>
      <c r="F182" s="292"/>
      <c r="G182" s="284">
        <f t="shared" si="78"/>
        <v>136</v>
      </c>
      <c r="H182" s="417">
        <f>a.4.Timisoara!I182+a.4.Loc.TM!I182+a.4.Deta!I182+a.4.Jimbolia!I182+a.4.Sannicolau!I182+a.4.Faget!I182+a.4.Buzias!I182</f>
        <v>1810000</v>
      </c>
      <c r="I182" s="417">
        <f>a.4.Timisoara!J182+a.4.Loc.TM!J182+a.4.Deta!J182+a.4.Jimbolia!J182+a.4.Sannicolau!J182+a.4.Faget!J182+a.4.Buzias!J182</f>
        <v>570000</v>
      </c>
      <c r="J182" s="417">
        <f>a.4.Timisoara!K182+a.4.Loc.TM!K182+a.4.Deta!K182+a.4.Jimbolia!K182+a.4.Sannicolau!K182+a.4.Faget!K182+a.4.Buzias!K182</f>
        <v>200000</v>
      </c>
      <c r="K182" s="417">
        <f>a.4.Timisoara!L182+a.4.Loc.TM!L182+a.4.Deta!L182+a.4.Jimbolia!L182+a.4.Sannicolau!L182+a.4.Faget!L182+a.4.Buzias!L182</f>
        <v>755000</v>
      </c>
      <c r="L182" s="417">
        <f>a.4.Timisoara!M182+a.4.Loc.TM!M182+a.4.Deta!M182+a.4.Jimbolia!M182+a.4.Sannicolau!M182+a.4.Faget!M182+a.4.Buzias!M182</f>
        <v>285000</v>
      </c>
      <c r="M182" s="415">
        <f>M183+M187+M189</f>
        <v>1154018</v>
      </c>
      <c r="N182" s="415">
        <f>N183+N187+N189</f>
        <v>635059</v>
      </c>
      <c r="O182" s="415">
        <f>O183+O187+O189</f>
        <v>1789077</v>
      </c>
      <c r="P182" s="418">
        <v>1810000</v>
      </c>
      <c r="Q182" s="114">
        <f t="shared" si="61"/>
        <v>0</v>
      </c>
    </row>
    <row r="183" spans="1:17" ht="13.5" thickBot="1" x14ac:dyDescent="0.25">
      <c r="A183" s="978"/>
      <c r="B183" s="1018"/>
      <c r="C183" s="71" t="s">
        <v>27</v>
      </c>
      <c r="D183" s="973" t="s">
        <v>461</v>
      </c>
      <c r="E183" s="974"/>
      <c r="F183" s="275"/>
      <c r="G183" s="84">
        <f t="shared" si="78"/>
        <v>137</v>
      </c>
      <c r="H183" s="432">
        <f>a.4.Timisoara!I183+a.4.Loc.TM!I183+a.4.Deta!I183+a.4.Jimbolia!I183+a.4.Sannicolau!I183+a.4.Faget!I183+a.4.Buzias!I183</f>
        <v>900000</v>
      </c>
      <c r="I183" s="432">
        <f>a.4.Timisoara!J183+a.4.Loc.TM!J183+a.4.Deta!J183+a.4.Jimbolia!J183+a.4.Sannicolau!J183+a.4.Faget!J183+a.4.Buzias!J183</f>
        <v>400000</v>
      </c>
      <c r="J183" s="432">
        <f>a.4.Timisoara!K183+a.4.Loc.TM!K183+a.4.Deta!K183+a.4.Jimbolia!K183+a.4.Sannicolau!K183+a.4.Faget!K183+a.4.Buzias!K183</f>
        <v>0</v>
      </c>
      <c r="K183" s="432">
        <f>a.4.Timisoara!L183+a.4.Loc.TM!L183+a.4.Deta!L183+a.4.Jimbolia!L183+a.4.Sannicolau!L183+a.4.Faget!L183+a.4.Buzias!L183</f>
        <v>500000</v>
      </c>
      <c r="L183" s="432">
        <f>a.4.Timisoara!M183+a.4.Loc.TM!M183+a.4.Deta!M183+a.4.Jimbolia!M183+a.4.Sannicolau!M183+a.4.Faget!M183+a.4.Buzias!M183</f>
        <v>0</v>
      </c>
      <c r="M183" s="405">
        <f t="shared" ref="M183:O183" si="81">M184+M185</f>
        <v>388635</v>
      </c>
      <c r="N183" s="405">
        <f t="shared" ref="N183" si="82">N184+N185</f>
        <v>220983</v>
      </c>
      <c r="O183" s="405">
        <f t="shared" si="81"/>
        <v>609618</v>
      </c>
      <c r="P183" s="496">
        <v>900000</v>
      </c>
      <c r="Q183" s="114">
        <f t="shared" si="61"/>
        <v>0</v>
      </c>
    </row>
    <row r="184" spans="1:17" ht="22.5" customHeight="1" thickBot="1" x14ac:dyDescent="0.25">
      <c r="A184" s="978"/>
      <c r="B184" s="1019"/>
      <c r="C184" s="71"/>
      <c r="D184" s="71" t="s">
        <v>237</v>
      </c>
      <c r="E184" s="71" t="s">
        <v>294</v>
      </c>
      <c r="F184" s="86">
        <v>666</v>
      </c>
      <c r="G184" s="84">
        <f t="shared" si="78"/>
        <v>138</v>
      </c>
      <c r="H184" s="432">
        <f>a.4.Timisoara!I184+a.4.Loc.TM!I184+a.4.Deta!I184+a.4.Jimbolia!I184+a.4.Sannicolau!I184+a.4.Faget!I184+a.4.Buzias!I184</f>
        <v>900000</v>
      </c>
      <c r="I184" s="432">
        <f>a.4.Timisoara!J184+a.4.Loc.TM!J184+a.4.Deta!J184+a.4.Jimbolia!J184+a.4.Sannicolau!J184+a.4.Faget!J184+a.4.Buzias!J184</f>
        <v>400000</v>
      </c>
      <c r="J184" s="432">
        <f>a.4.Timisoara!K184+a.4.Loc.TM!K184+a.4.Deta!K184+a.4.Jimbolia!K184+a.4.Sannicolau!K184+a.4.Faget!K184+a.4.Buzias!K184</f>
        <v>0</v>
      </c>
      <c r="K184" s="432">
        <f>a.4.Timisoara!L184+a.4.Loc.TM!L184+a.4.Deta!L184+a.4.Jimbolia!L184+a.4.Sannicolau!L184+a.4.Faget!L184+a.4.Buzias!L184</f>
        <v>500000</v>
      </c>
      <c r="L184" s="432">
        <f>a.4.Timisoara!M184+a.4.Loc.TM!M184+a.4.Deta!M184+a.4.Jimbolia!M184+a.4.Sannicolau!M184+a.4.Faget!M184+a.4.Buzias!M184</f>
        <v>0</v>
      </c>
      <c r="M184" s="405">
        <v>388635</v>
      </c>
      <c r="N184" s="405">
        <v>220983</v>
      </c>
      <c r="O184" s="405">
        <f>SUM(M184:N184)</f>
        <v>609618</v>
      </c>
      <c r="P184" s="496">
        <v>900000</v>
      </c>
      <c r="Q184" s="114">
        <f t="shared" si="61"/>
        <v>0</v>
      </c>
    </row>
    <row r="185" spans="1:17" ht="22.5" customHeight="1" thickBot="1" x14ac:dyDescent="0.25">
      <c r="A185" s="978"/>
      <c r="B185" s="1019"/>
      <c r="C185" s="71"/>
      <c r="D185" s="71" t="s">
        <v>66</v>
      </c>
      <c r="E185" s="71" t="s">
        <v>349</v>
      </c>
      <c r="F185" s="86"/>
      <c r="G185" s="84">
        <f t="shared" si="78"/>
        <v>139</v>
      </c>
      <c r="H185" s="432">
        <f>a.4.Timisoara!I185+a.4.Loc.TM!I185+a.4.Deta!I185+a.4.Jimbolia!I185+a.4.Sannicolau!I185+a.4.Faget!I185+a.4.Buzias!I185</f>
        <v>0</v>
      </c>
      <c r="I185" s="432">
        <f>a.4.Timisoara!J185+a.4.Loc.TM!J185+a.4.Deta!J185+a.4.Jimbolia!J185+a.4.Sannicolau!J185+a.4.Faget!J185+a.4.Buzias!J185</f>
        <v>0</v>
      </c>
      <c r="J185" s="432">
        <f>a.4.Timisoara!K185+a.4.Loc.TM!K185+a.4.Deta!K185+a.4.Jimbolia!K185+a.4.Sannicolau!K185+a.4.Faget!K185+a.4.Buzias!K185</f>
        <v>0</v>
      </c>
      <c r="K185" s="432">
        <f>a.4.Timisoara!L185+a.4.Loc.TM!L185+a.4.Deta!L185+a.4.Jimbolia!L185+a.4.Sannicolau!L185+a.4.Faget!L185+a.4.Buzias!L185</f>
        <v>0</v>
      </c>
      <c r="L185" s="432">
        <f>a.4.Timisoara!M185+a.4.Loc.TM!M185+a.4.Deta!M185+a.4.Jimbolia!M185+a.4.Sannicolau!M185+a.4.Faget!M185+a.4.Buzias!M185</f>
        <v>0</v>
      </c>
      <c r="M185" s="441"/>
      <c r="N185" s="441"/>
      <c r="O185" s="405">
        <f t="shared" ref="O185:O190" si="83">SUM(M185:N185)</f>
        <v>0</v>
      </c>
      <c r="P185" s="496">
        <v>0</v>
      </c>
      <c r="Q185" s="114">
        <f t="shared" si="61"/>
        <v>0</v>
      </c>
    </row>
    <row r="186" spans="1:17" ht="22.5" customHeight="1" thickBot="1" x14ac:dyDescent="0.25">
      <c r="A186" s="978"/>
      <c r="B186" s="1019"/>
      <c r="C186" s="71" t="s">
        <v>38</v>
      </c>
      <c r="D186" s="973" t="s">
        <v>440</v>
      </c>
      <c r="E186" s="974"/>
      <c r="F186" s="275"/>
      <c r="G186" s="84">
        <f t="shared" si="78"/>
        <v>140</v>
      </c>
      <c r="H186" s="432">
        <f>a.4.Timisoara!I186+a.4.Loc.TM!I186+a.4.Deta!I186+a.4.Jimbolia!I186+a.4.Sannicolau!I186+a.4.Faget!I186+a.4.Buzias!I186</f>
        <v>660000</v>
      </c>
      <c r="I186" s="432">
        <f>a.4.Timisoara!J186+a.4.Loc.TM!J186+a.4.Deta!J186+a.4.Jimbolia!J186+a.4.Sannicolau!J186+a.4.Faget!J186+a.4.Buzias!J186</f>
        <v>120000</v>
      </c>
      <c r="J186" s="432">
        <f>a.4.Timisoara!K186+a.4.Loc.TM!K186+a.4.Deta!K186+a.4.Jimbolia!K186+a.4.Sannicolau!K186+a.4.Faget!K186+a.4.Buzias!K186</f>
        <v>140000</v>
      </c>
      <c r="K186" s="432">
        <f>a.4.Timisoara!L186+a.4.Loc.TM!L186+a.4.Deta!L186+a.4.Jimbolia!L186+a.4.Sannicolau!L186+a.4.Faget!L186+a.4.Buzias!L186</f>
        <v>180000</v>
      </c>
      <c r="L186" s="432">
        <f>a.4.Timisoara!M186+a.4.Loc.TM!M186+a.4.Deta!M186+a.4.Jimbolia!M186+a.4.Sannicolau!M186+a.4.Faget!M186+a.4.Buzias!M186</f>
        <v>220000</v>
      </c>
      <c r="M186" s="526">
        <f>SUM(M187:M188)</f>
        <v>525544</v>
      </c>
      <c r="N186" s="526">
        <f>SUM(N187:N188)</f>
        <v>412850</v>
      </c>
      <c r="O186" s="405">
        <f t="shared" si="83"/>
        <v>938394</v>
      </c>
      <c r="P186" s="496">
        <v>660000</v>
      </c>
      <c r="Q186" s="114">
        <f t="shared" si="61"/>
        <v>0</v>
      </c>
    </row>
    <row r="187" spans="1:17" ht="22.5" customHeight="1" thickBot="1" x14ac:dyDescent="0.25">
      <c r="A187" s="978"/>
      <c r="B187" s="1019"/>
      <c r="C187" s="71"/>
      <c r="D187" s="71" t="s">
        <v>76</v>
      </c>
      <c r="E187" s="71" t="s">
        <v>294</v>
      </c>
      <c r="F187" s="86">
        <v>665</v>
      </c>
      <c r="G187" s="84">
        <f t="shared" si="78"/>
        <v>141</v>
      </c>
      <c r="H187" s="432">
        <f>a.4.Timisoara!I187+a.4.Loc.TM!I187+a.4.Deta!I187+a.4.Jimbolia!I187+a.4.Sannicolau!I187+a.4.Faget!I187+a.4.Buzias!I187</f>
        <v>660000</v>
      </c>
      <c r="I187" s="432">
        <f>a.4.Timisoara!J187+a.4.Loc.TM!J187+a.4.Deta!J187+a.4.Jimbolia!J187+a.4.Sannicolau!J187+a.4.Faget!J187+a.4.Buzias!J187</f>
        <v>120000</v>
      </c>
      <c r="J187" s="432">
        <f>a.4.Timisoara!K187+a.4.Loc.TM!K187+a.4.Deta!K187+a.4.Jimbolia!K187+a.4.Sannicolau!K187+a.4.Faget!K187+a.4.Buzias!K187</f>
        <v>140000</v>
      </c>
      <c r="K187" s="432">
        <f>a.4.Timisoara!L187+a.4.Loc.TM!L187+a.4.Deta!L187+a.4.Jimbolia!L187+a.4.Sannicolau!L187+a.4.Faget!L187+a.4.Buzias!L187</f>
        <v>180000</v>
      </c>
      <c r="L187" s="432">
        <f>a.4.Timisoara!M187+a.4.Loc.TM!M187+a.4.Deta!M187+a.4.Jimbolia!M187+a.4.Sannicolau!M187+a.4.Faget!M187+a.4.Buzias!M187</f>
        <v>220000</v>
      </c>
      <c r="M187" s="445">
        <f>523942+1602</f>
        <v>525544</v>
      </c>
      <c r="N187" s="445">
        <v>412850</v>
      </c>
      <c r="O187" s="405">
        <f t="shared" si="83"/>
        <v>938394</v>
      </c>
      <c r="P187" s="496">
        <v>660000</v>
      </c>
      <c r="Q187" s="114">
        <f t="shared" si="61"/>
        <v>0</v>
      </c>
    </row>
    <row r="188" spans="1:17" ht="22.5" customHeight="1" thickBot="1" x14ac:dyDescent="0.25">
      <c r="A188" s="978"/>
      <c r="B188" s="1019"/>
      <c r="C188" s="71"/>
      <c r="D188" s="71" t="s">
        <v>99</v>
      </c>
      <c r="E188" s="71" t="s">
        <v>295</v>
      </c>
      <c r="F188" s="86"/>
      <c r="G188" s="84">
        <f t="shared" si="78"/>
        <v>142</v>
      </c>
      <c r="H188" s="432">
        <f>a.4.Timisoara!I188+a.4.Loc.TM!I188+a.4.Deta!I188+a.4.Jimbolia!I188+a.4.Sannicolau!I188+a.4.Faget!I188+a.4.Buzias!I188</f>
        <v>0</v>
      </c>
      <c r="I188" s="432">
        <f>a.4.Timisoara!J188+a.4.Loc.TM!J188+a.4.Deta!J188+a.4.Jimbolia!J188+a.4.Sannicolau!J188+a.4.Faget!J188+a.4.Buzias!J188</f>
        <v>0</v>
      </c>
      <c r="J188" s="432">
        <f>a.4.Timisoara!K188+a.4.Loc.TM!K188+a.4.Deta!K188+a.4.Jimbolia!K188+a.4.Sannicolau!K188+a.4.Faget!K188+a.4.Buzias!K188</f>
        <v>0</v>
      </c>
      <c r="K188" s="432">
        <f>a.4.Timisoara!L188+a.4.Loc.TM!L188+a.4.Deta!L188+a.4.Jimbolia!L188+a.4.Sannicolau!L188+a.4.Faget!L188+a.4.Buzias!L188</f>
        <v>0</v>
      </c>
      <c r="L188" s="432">
        <f>a.4.Timisoara!M188+a.4.Loc.TM!M188+a.4.Deta!M188+a.4.Jimbolia!M188+a.4.Sannicolau!M188+a.4.Faget!M188+a.4.Buzias!M188</f>
        <v>0</v>
      </c>
      <c r="M188" s="405"/>
      <c r="N188" s="405"/>
      <c r="O188" s="405">
        <f t="shared" si="83"/>
        <v>0</v>
      </c>
      <c r="P188" s="496">
        <v>0</v>
      </c>
      <c r="Q188" s="114">
        <f t="shared" si="61"/>
        <v>0</v>
      </c>
    </row>
    <row r="189" spans="1:17" ht="13.5" thickBot="1" x14ac:dyDescent="0.25">
      <c r="A189" s="978"/>
      <c r="B189" s="1020"/>
      <c r="C189" s="71" t="s">
        <v>40</v>
      </c>
      <c r="D189" s="973" t="s">
        <v>296</v>
      </c>
      <c r="E189" s="974"/>
      <c r="F189" s="275">
        <v>668</v>
      </c>
      <c r="G189" s="84">
        <f t="shared" si="78"/>
        <v>143</v>
      </c>
      <c r="H189" s="432">
        <f>a.4.Timisoara!I189+a.4.Loc.TM!I189+a.4.Deta!I189+a.4.Jimbolia!I189+a.4.Sannicolau!I189+a.4.Faget!I189+a.4.Buzias!I189</f>
        <v>250000</v>
      </c>
      <c r="I189" s="432">
        <f>a.4.Timisoara!J189+a.4.Loc.TM!J189+a.4.Deta!J189+a.4.Jimbolia!J189+a.4.Sannicolau!J189+a.4.Faget!J189+a.4.Buzias!J189</f>
        <v>50000</v>
      </c>
      <c r="J189" s="432">
        <f>a.4.Timisoara!K189+a.4.Loc.TM!K189+a.4.Deta!K189+a.4.Jimbolia!K189+a.4.Sannicolau!K189+a.4.Faget!K189+a.4.Buzias!K189</f>
        <v>60000</v>
      </c>
      <c r="K189" s="432">
        <f>a.4.Timisoara!L189+a.4.Loc.TM!L189+a.4.Deta!L189+a.4.Jimbolia!L189+a.4.Sannicolau!L189+a.4.Faget!L189+a.4.Buzias!L189</f>
        <v>75000</v>
      </c>
      <c r="L189" s="432">
        <f>a.4.Timisoara!M189+a.4.Loc.TM!M189+a.4.Deta!M189+a.4.Jimbolia!M189+a.4.Sannicolau!M189+a.4.Faget!M189+a.4.Buzias!M189</f>
        <v>65000</v>
      </c>
      <c r="M189" s="405">
        <f>1154018-M184-M187</f>
        <v>239839</v>
      </c>
      <c r="N189" s="405">
        <v>1226</v>
      </c>
      <c r="O189" s="405">
        <f t="shared" si="83"/>
        <v>241065</v>
      </c>
      <c r="P189" s="496">
        <v>250000</v>
      </c>
      <c r="Q189" s="114">
        <f t="shared" si="61"/>
        <v>0</v>
      </c>
    </row>
    <row r="190" spans="1:17" ht="13.5" thickBot="1" x14ac:dyDescent="0.25">
      <c r="A190" s="979"/>
      <c r="B190" s="71" t="s">
        <v>17</v>
      </c>
      <c r="C190" s="319"/>
      <c r="D190" s="1041" t="s">
        <v>129</v>
      </c>
      <c r="E190" s="1042"/>
      <c r="F190" s="320"/>
      <c r="G190" s="84">
        <f t="shared" si="78"/>
        <v>144</v>
      </c>
      <c r="H190" s="432">
        <f>a.4.Timisoara!I190+a.4.Loc.TM!I190+a.4.Deta!I190+a.4.Jimbolia!I190+a.4.Sannicolau!I190+a.4.Faget!I190+a.4.Buzias!I190</f>
        <v>0</v>
      </c>
      <c r="I190" s="432">
        <f>a.4.Timisoara!J190+a.4.Loc.TM!J190+a.4.Deta!J190+a.4.Jimbolia!J190+a.4.Sannicolau!J190+a.4.Faget!J190+a.4.Buzias!J190</f>
        <v>0</v>
      </c>
      <c r="J190" s="432">
        <f>a.4.Timisoara!K190+a.4.Loc.TM!K190+a.4.Deta!K190+a.4.Jimbolia!K190+a.4.Sannicolau!K190+a.4.Faget!K190+a.4.Buzias!K190</f>
        <v>0</v>
      </c>
      <c r="K190" s="432">
        <f>a.4.Timisoara!L190+a.4.Loc.TM!L190+a.4.Deta!L190+a.4.Jimbolia!L190+a.4.Sannicolau!L190+a.4.Faget!L190+a.4.Buzias!L190</f>
        <v>0</v>
      </c>
      <c r="L190" s="432">
        <f>a.4.Timisoara!M190+a.4.Loc.TM!M190+a.4.Deta!M190+a.4.Jimbolia!M190+a.4.Sannicolau!M190+a.4.Faget!M190+a.4.Buzias!M190</f>
        <v>0</v>
      </c>
      <c r="M190" s="447"/>
      <c r="N190" s="447"/>
      <c r="O190" s="405">
        <f t="shared" si="83"/>
        <v>0</v>
      </c>
      <c r="P190" s="496">
        <v>0</v>
      </c>
      <c r="Q190" s="114">
        <f t="shared" si="61"/>
        <v>0</v>
      </c>
    </row>
    <row r="191" spans="1:17" ht="13.5" thickBot="1" x14ac:dyDescent="0.25">
      <c r="A191" s="87" t="s">
        <v>130</v>
      </c>
      <c r="B191" s="321"/>
      <c r="C191" s="321"/>
      <c r="D191" s="1023" t="s">
        <v>441</v>
      </c>
      <c r="E191" s="1025"/>
      <c r="F191" s="292"/>
      <c r="G191" s="284">
        <f t="shared" si="78"/>
        <v>145</v>
      </c>
      <c r="H191" s="417">
        <f>a.4.Timisoara!I191+a.4.Loc.TM!I191+a.4.Deta!I191+a.4.Jimbolia!I191+a.4.Sannicolau!I191+a.4.Faget!I191+a.4.Buzias!I191</f>
        <v>11909218.905120011</v>
      </c>
      <c r="I191" s="417">
        <f>a.4.Timisoara!J191+a.4.Loc.TM!J191+a.4.Deta!J191+a.4.Jimbolia!J191+a.4.Sannicolau!J191+a.4.Faget!J191+a.4.Buzias!J191</f>
        <v>5834498.1864799978</v>
      </c>
      <c r="J191" s="417">
        <f>a.4.Timisoara!K191+a.4.Loc.TM!K191+a.4.Deta!K191+a.4.Jimbolia!K191+a.4.Sannicolau!K191+a.4.Faget!K191+a.4.Buzias!K191</f>
        <v>5317015.6756599993</v>
      </c>
      <c r="K191" s="417">
        <f>a.4.Timisoara!L191+a.4.Loc.TM!L191+a.4.Deta!L191+a.4.Jimbolia!L191+a.4.Sannicolau!L191+a.4.Faget!L191+a.4.Buzias!L191</f>
        <v>2581024.3249199986</v>
      </c>
      <c r="L191" s="417">
        <f>a.4.Timisoara!M191+a.4.Loc.TM!M191+a.4.Deta!M191+a.4.Jimbolia!M191+a.4.Sannicolau!M191+a.4.Faget!M191+a.4.Buzias!M191</f>
        <v>-1823319.2819399976</v>
      </c>
      <c r="M191" s="415">
        <f t="shared" ref="M191:O191" si="84">M10-M41</f>
        <v>39910914</v>
      </c>
      <c r="N191" s="415">
        <f t="shared" ref="N191" si="85">N10-N41</f>
        <v>-6021071.6345200017</v>
      </c>
      <c r="O191" s="415">
        <f t="shared" si="84"/>
        <v>33560104.365480006</v>
      </c>
      <c r="P191" s="418">
        <v>17588385.905120011</v>
      </c>
      <c r="Q191" s="732">
        <f t="shared" si="61"/>
        <v>-5679167</v>
      </c>
    </row>
    <row r="192" spans="1:17" ht="17.25" customHeight="1" thickBot="1" x14ac:dyDescent="0.25">
      <c r="A192" s="87"/>
      <c r="B192" s="321"/>
      <c r="C192" s="321"/>
      <c r="D192" s="322"/>
      <c r="E192" s="322" t="s">
        <v>421</v>
      </c>
      <c r="F192" s="323"/>
      <c r="G192" s="109">
        <v>146</v>
      </c>
      <c r="H192" s="437">
        <f>a.4.Timisoara!I192+a.4.Loc.TM!I192+a.4.Deta!I192+a.4.Jimbolia!I192+a.4.Sannicolau!I192+a.4.Faget!I192+a.4.Buzias!I192</f>
        <v>3090483.6</v>
      </c>
      <c r="I192" s="437">
        <f>a.4.Timisoara!J192+a.4.Loc.TM!J192+a.4.Deta!J192+a.4.Jimbolia!J192+a.4.Sannicolau!J192+a.4.Faget!J192+a.4.Buzias!J192</f>
        <v>145941.16</v>
      </c>
      <c r="J192" s="437">
        <f>a.4.Timisoara!K192+a.4.Loc.TM!K192+a.4.Deta!K192+a.4.Jimbolia!K192+a.4.Sannicolau!K192+a.4.Faget!K192+a.4.Buzias!K192</f>
        <v>2400256.3199999998</v>
      </c>
      <c r="K192" s="437">
        <f>a.4.Timisoara!L192+a.4.Loc.TM!L192+a.4.Deta!L192+a.4.Jimbolia!L192+a.4.Sannicolau!L192+a.4.Faget!L192+a.4.Buzias!L192</f>
        <v>102604.12</v>
      </c>
      <c r="L192" s="437">
        <f>a.4.Timisoara!M192+a.4.Loc.TM!M192+a.4.Deta!M192+a.4.Jimbolia!M192+a.4.Sannicolau!M192+a.4.Faget!M192+a.4.Buzias!M192</f>
        <v>441682</v>
      </c>
      <c r="M192" s="449">
        <f t="shared" ref="M192" si="86">M177</f>
        <v>2869708</v>
      </c>
      <c r="N192" s="449">
        <f t="shared" ref="N192" si="87">N177</f>
        <v>704047</v>
      </c>
      <c r="O192" s="449">
        <f>SUM(M192:N192)</f>
        <v>3573755</v>
      </c>
      <c r="P192" s="438">
        <v>3090483.6</v>
      </c>
      <c r="Q192" s="114">
        <f t="shared" si="61"/>
        <v>0</v>
      </c>
    </row>
    <row r="193" spans="1:17" ht="17.25" customHeight="1" thickBot="1" x14ac:dyDescent="0.25">
      <c r="A193" s="84"/>
      <c r="B193" s="71"/>
      <c r="C193" s="71"/>
      <c r="D193" s="322"/>
      <c r="E193" s="322" t="s">
        <v>297</v>
      </c>
      <c r="F193" s="323"/>
      <c r="G193" s="109">
        <v>147</v>
      </c>
      <c r="H193" s="437">
        <f>a.4.Timisoara!I193+a.4.Loc.TM!I193+a.4.Deta!I193+a.4.Jimbolia!I193+a.4.Sannicolau!I193+a.4.Faget!I193+a.4.Buzias!I193</f>
        <v>4460000</v>
      </c>
      <c r="I193" s="437">
        <f>a.4.Timisoara!J193+a.4.Loc.TM!J193+a.4.Deta!J193+a.4.Jimbolia!J193+a.4.Sannicolau!J193+a.4.Faget!J193+a.4.Buzias!J193</f>
        <v>0</v>
      </c>
      <c r="J193" s="437">
        <f>a.4.Timisoara!K193+a.4.Loc.TM!K193+a.4.Deta!K193+a.4.Jimbolia!K193+a.4.Sannicolau!K193+a.4.Faget!K193+a.4.Buzias!K193</f>
        <v>0</v>
      </c>
      <c r="K193" s="437">
        <f>a.4.Timisoara!L193+a.4.Loc.TM!L193+a.4.Deta!L193+a.4.Jimbolia!L193+a.4.Sannicolau!L193+a.4.Faget!L193+a.4.Buzias!L193</f>
        <v>0</v>
      </c>
      <c r="L193" s="437">
        <f>a.4.Timisoara!M193+a.4.Loc.TM!M193+a.4.Deta!M193+a.4.Jimbolia!M193+a.4.Sannicolau!M193+a.4.Faget!M193+a.4.Buzias!M193</f>
        <v>4460000</v>
      </c>
      <c r="M193" s="432">
        <f>M174</f>
        <v>0</v>
      </c>
      <c r="N193" s="432">
        <f t="shared" ref="N193" si="88">N174</f>
        <v>7000000</v>
      </c>
      <c r="O193" s="449">
        <f t="shared" ref="O193:O195" si="89">SUM(M193:N193)</f>
        <v>7000000</v>
      </c>
      <c r="P193" s="438">
        <v>4460000</v>
      </c>
      <c r="Q193" s="114">
        <f t="shared" si="61"/>
        <v>0</v>
      </c>
    </row>
    <row r="194" spans="1:17" ht="13.5" thickBot="1" x14ac:dyDescent="0.25">
      <c r="A194" s="87" t="s">
        <v>132</v>
      </c>
      <c r="B194" s="321"/>
      <c r="C194" s="321"/>
      <c r="D194" s="1023" t="s">
        <v>133</v>
      </c>
      <c r="E194" s="1025"/>
      <c r="F194" s="292"/>
      <c r="G194" s="284">
        <f t="shared" si="78"/>
        <v>148</v>
      </c>
      <c r="H194" s="417"/>
      <c r="I194" s="417"/>
      <c r="J194" s="417"/>
      <c r="K194" s="417"/>
      <c r="L194" s="417"/>
      <c r="M194" s="415">
        <f>(M191+M193)*16%</f>
        <v>6385746.2400000002</v>
      </c>
      <c r="N194" s="415">
        <f>(N191+N193)*16%</f>
        <v>156628.53847679973</v>
      </c>
      <c r="O194" s="449">
        <f t="shared" si="89"/>
        <v>6542374.7784767998</v>
      </c>
      <c r="P194" s="418"/>
      <c r="Q194" s="114">
        <f t="shared" si="61"/>
        <v>0</v>
      </c>
    </row>
    <row r="195" spans="1:17" ht="13.5" thickBot="1" x14ac:dyDescent="0.25">
      <c r="A195" s="532"/>
      <c r="B195" s="533"/>
      <c r="C195" s="534"/>
      <c r="D195" s="533"/>
      <c r="E195" s="533"/>
      <c r="F195" s="535"/>
      <c r="G195" s="536"/>
      <c r="H195" s="417"/>
      <c r="I195" s="417"/>
      <c r="J195" s="417"/>
      <c r="K195" s="417"/>
      <c r="L195" s="417"/>
      <c r="M195" s="537">
        <f>M191-M194</f>
        <v>33525167.759999998</v>
      </c>
      <c r="N195" s="537">
        <f>N191-N194</f>
        <v>-6177700.1729968013</v>
      </c>
      <c r="O195" s="449">
        <f t="shared" si="89"/>
        <v>27347467.587003198</v>
      </c>
      <c r="P195" s="418"/>
      <c r="Q195" s="114">
        <f t="shared" si="61"/>
        <v>0</v>
      </c>
    </row>
    <row r="196" spans="1:17" ht="13.5" thickBot="1" x14ac:dyDescent="0.25">
      <c r="A196" s="349" t="s">
        <v>134</v>
      </c>
      <c r="B196" s="346"/>
      <c r="C196" s="331"/>
      <c r="D196" s="1043" t="s">
        <v>422</v>
      </c>
      <c r="E196" s="1044"/>
      <c r="F196" s="338"/>
      <c r="G196" s="339">
        <v>149</v>
      </c>
      <c r="H196" s="432">
        <f>a.4.Timisoara!I195+a.4.Loc.TM!I195+a.4.Deta!I195+a.4.Jimbolia!I195+a.4.Sannicolau!I195+a.4.Faget!I195+a.4.Buzias!I195</f>
        <v>0</v>
      </c>
      <c r="I196" s="432">
        <f>a.4.Timisoara!J195+a.4.Loc.TM!J195+a.4.Deta!J195+a.4.Jimbolia!J195+a.4.Sannicolau!J195+a.4.Faget!J195+a.4.Buzias!J195</f>
        <v>0</v>
      </c>
      <c r="J196" s="432">
        <f>a.4.Timisoara!K195+a.4.Loc.TM!K195+a.4.Deta!K195+a.4.Jimbolia!K195+a.4.Sannicolau!K195+a.4.Faget!K195+a.4.Buzias!K195</f>
        <v>0</v>
      </c>
      <c r="K196" s="432">
        <f>a.4.Timisoara!L195+a.4.Loc.TM!L195+a.4.Deta!L195+a.4.Jimbolia!L195+a.4.Sannicolau!L195+a.4.Faget!L195+a.4.Buzias!L195</f>
        <v>0</v>
      </c>
      <c r="L196" s="432">
        <f>a.4.Timisoara!M195+a.4.Loc.TM!M195+a.4.Deta!M195+a.4.Jimbolia!M195+a.4.Sannicolau!M195+a.4.Faget!M195+a.4.Buzias!M195</f>
        <v>0</v>
      </c>
      <c r="M196" s="527"/>
      <c r="N196" s="527"/>
      <c r="O196" s="527"/>
      <c r="P196" s="496">
        <v>0</v>
      </c>
      <c r="Q196" s="114">
        <f t="shared" si="61"/>
        <v>0</v>
      </c>
    </row>
    <row r="197" spans="1:17" ht="13.5" thickBot="1" x14ac:dyDescent="0.25">
      <c r="A197" s="350" t="s">
        <v>141</v>
      </c>
      <c r="B197" s="347"/>
      <c r="C197" s="333"/>
      <c r="D197" s="1035" t="s">
        <v>423</v>
      </c>
      <c r="E197" s="1036"/>
      <c r="F197" s="325"/>
      <c r="G197" s="121">
        <v>150</v>
      </c>
      <c r="H197" s="432"/>
      <c r="I197" s="432"/>
      <c r="J197" s="432"/>
      <c r="K197" s="432"/>
      <c r="L197" s="432"/>
      <c r="M197" s="528"/>
      <c r="N197" s="528"/>
      <c r="O197" s="528"/>
      <c r="P197" s="496"/>
      <c r="Q197" s="114">
        <f t="shared" si="61"/>
        <v>0</v>
      </c>
    </row>
    <row r="198" spans="1:17" ht="13.5" thickBot="1" x14ac:dyDescent="0.25">
      <c r="A198" s="351" t="s">
        <v>143</v>
      </c>
      <c r="B198" s="348"/>
      <c r="C198" s="335"/>
      <c r="D198" s="1037" t="s">
        <v>424</v>
      </c>
      <c r="E198" s="1038"/>
      <c r="F198" s="280"/>
      <c r="G198" s="251">
        <v>151</v>
      </c>
      <c r="H198" s="432">
        <f>a.4.Timisoara!I197+a.4.Loc.TM!I197+a.4.Deta!I197+a.4.Jimbolia!I197+a.4.Sannicolau!I197+a.4.Faget!I197+a.4.Buzias!I197</f>
        <v>0</v>
      </c>
      <c r="I198" s="432">
        <f>a.4.Timisoara!J197+a.4.Loc.TM!J197+a.4.Deta!J197+a.4.Jimbolia!J197+a.4.Sannicolau!J197+a.4.Faget!J197+a.4.Buzias!J197</f>
        <v>0</v>
      </c>
      <c r="J198" s="432">
        <f>a.4.Timisoara!K197+a.4.Loc.TM!K197+a.4.Deta!K197+a.4.Jimbolia!K197+a.4.Sannicolau!K197+a.4.Faget!K197+a.4.Buzias!K197</f>
        <v>0</v>
      </c>
      <c r="K198" s="432">
        <f>a.4.Timisoara!L197+a.4.Loc.TM!L197+a.4.Deta!L197+a.4.Jimbolia!L197+a.4.Sannicolau!L197+a.4.Faget!L197+a.4.Buzias!L197</f>
        <v>0</v>
      </c>
      <c r="L198" s="432">
        <f>a.4.Timisoara!M197+a.4.Loc.TM!M197+a.4.Deta!M197+a.4.Jimbolia!M197+a.4.Sannicolau!M197+a.4.Faget!M197+a.4.Buzias!M197</f>
        <v>0</v>
      </c>
      <c r="M198" s="529"/>
      <c r="N198" s="529"/>
      <c r="O198" s="529"/>
      <c r="P198" s="496">
        <v>0</v>
      </c>
      <c r="Q198" s="114">
        <f t="shared" si="61"/>
        <v>0</v>
      </c>
    </row>
    <row r="199" spans="1:17" ht="22.5" customHeight="1" thickBot="1" x14ac:dyDescent="0.25">
      <c r="A199" s="352" t="s">
        <v>150</v>
      </c>
      <c r="B199" s="345"/>
      <c r="C199" s="337"/>
      <c r="D199" s="1039" t="s">
        <v>425</v>
      </c>
      <c r="E199" s="1040"/>
      <c r="F199" s="341"/>
      <c r="G199" s="342">
        <v>152</v>
      </c>
      <c r="H199" s="432">
        <f>a.4.Timisoara!I198+a.4.Loc.TM!I198+a.4.Deta!I198+a.4.Jimbolia!I198+a.4.Sannicolau!I198+a.4.Faget!I198+a.4.Buzias!I198</f>
        <v>0</v>
      </c>
      <c r="I199" s="432">
        <f>a.4.Timisoara!J198+a.4.Loc.TM!J198+a.4.Deta!J198+a.4.Jimbolia!J198+a.4.Sannicolau!J198+a.4.Faget!J198+a.4.Buzias!J198</f>
        <v>0</v>
      </c>
      <c r="J199" s="432">
        <f>a.4.Timisoara!K198+a.4.Loc.TM!K198+a.4.Deta!K198+a.4.Jimbolia!K198+a.4.Sannicolau!K198+a.4.Faget!K198+a.4.Buzias!K198</f>
        <v>0</v>
      </c>
      <c r="K199" s="432">
        <f>a.4.Timisoara!L198+a.4.Loc.TM!L198+a.4.Deta!L198+a.4.Jimbolia!L198+a.4.Sannicolau!L198+a.4.Faget!L198+a.4.Buzias!L198</f>
        <v>0</v>
      </c>
      <c r="L199" s="432">
        <f>a.4.Timisoara!M198+a.4.Loc.TM!M198+a.4.Deta!M198+a.4.Jimbolia!M198+a.4.Sannicolau!M198+a.4.Faget!M198+a.4.Buzias!M198</f>
        <v>0</v>
      </c>
      <c r="M199" s="530"/>
      <c r="N199" s="530"/>
      <c r="O199" s="530"/>
      <c r="P199" s="496">
        <v>0</v>
      </c>
      <c r="Q199" s="114">
        <f t="shared" si="61"/>
        <v>0</v>
      </c>
    </row>
    <row r="201" spans="1:17" x14ac:dyDescent="0.2">
      <c r="K201" s="1" t="s">
        <v>411</v>
      </c>
      <c r="L201" s="124">
        <f>M10</f>
        <v>129974651</v>
      </c>
      <c r="N201" s="124">
        <f>N10</f>
        <v>12430928</v>
      </c>
    </row>
    <row r="202" spans="1:17" x14ac:dyDescent="0.2">
      <c r="K202" s="1" t="s">
        <v>412</v>
      </c>
      <c r="L202" s="124">
        <f>M177</f>
        <v>2869708</v>
      </c>
      <c r="N202" s="124">
        <f>N177</f>
        <v>704047</v>
      </c>
    </row>
    <row r="203" spans="1:17" x14ac:dyDescent="0.2">
      <c r="L203" s="124">
        <f>L201+L202</f>
        <v>132844359</v>
      </c>
    </row>
    <row r="206" spans="1:17" ht="13.5" thickBot="1" x14ac:dyDescent="0.25">
      <c r="K206" s="517"/>
      <c r="L206" s="518">
        <f>M41</f>
        <v>90063737</v>
      </c>
    </row>
    <row r="207" spans="1:17" x14ac:dyDescent="0.2">
      <c r="K207" s="519" t="s">
        <v>508</v>
      </c>
      <c r="L207" s="520">
        <f>98094069-5160624</f>
        <v>92933445</v>
      </c>
      <c r="N207" s="124"/>
    </row>
    <row r="208" spans="1:17" x14ac:dyDescent="0.2">
      <c r="K208" s="519" t="s">
        <v>412</v>
      </c>
      <c r="L208" s="521">
        <f>M173</f>
        <v>-2869708</v>
      </c>
    </row>
    <row r="209" spans="11:12" x14ac:dyDescent="0.2">
      <c r="K209" s="522"/>
      <c r="L209" s="520">
        <f>SUM(L207:L208)</f>
        <v>90063737</v>
      </c>
    </row>
    <row r="210" spans="11:12" x14ac:dyDescent="0.2">
      <c r="K210" s="523"/>
      <c r="L210" s="524">
        <f>L206-L209</f>
        <v>0</v>
      </c>
    </row>
  </sheetData>
  <mergeCells count="120">
    <mergeCell ref="D197:E197"/>
    <mergeCell ref="D198:E198"/>
    <mergeCell ref="D199:E199"/>
    <mergeCell ref="D186:E186"/>
    <mergeCell ref="D189:E189"/>
    <mergeCell ref="D190:E190"/>
    <mergeCell ref="D191:E191"/>
    <mergeCell ref="D194:E194"/>
    <mergeCell ref="D196:E196"/>
    <mergeCell ref="D169:E169"/>
    <mergeCell ref="A170:A190"/>
    <mergeCell ref="B170:B173"/>
    <mergeCell ref="D170:E170"/>
    <mergeCell ref="D171:E171"/>
    <mergeCell ref="D172:E172"/>
    <mergeCell ref="D173:E173"/>
    <mergeCell ref="D182:E182"/>
    <mergeCell ref="B183:B189"/>
    <mergeCell ref="D183:E183"/>
    <mergeCell ref="A120:A169"/>
    <mergeCell ref="B120:B169"/>
    <mergeCell ref="D163:E163"/>
    <mergeCell ref="D164:E164"/>
    <mergeCell ref="C165:E165"/>
    <mergeCell ref="D166:E166"/>
    <mergeCell ref="D167:E167"/>
    <mergeCell ref="D168:E168"/>
    <mergeCell ref="D157:E157"/>
    <mergeCell ref="D158:E158"/>
    <mergeCell ref="D159:E159"/>
    <mergeCell ref="D160:E160"/>
    <mergeCell ref="D161:E161"/>
    <mergeCell ref="D162:E162"/>
    <mergeCell ref="D147:E147"/>
    <mergeCell ref="D148:E148"/>
    <mergeCell ref="D149:E149"/>
    <mergeCell ref="C150:C156"/>
    <mergeCell ref="D150:E150"/>
    <mergeCell ref="D153:E153"/>
    <mergeCell ref="D156:E156"/>
    <mergeCell ref="D141:E141"/>
    <mergeCell ref="D142:E142"/>
    <mergeCell ref="D143:E143"/>
    <mergeCell ref="D144:E144"/>
    <mergeCell ref="D145:E145"/>
    <mergeCell ref="D146:E146"/>
    <mergeCell ref="C134:C136"/>
    <mergeCell ref="D134:E134"/>
    <mergeCell ref="D135:E135"/>
    <mergeCell ref="D136:E136"/>
    <mergeCell ref="D137:E137"/>
    <mergeCell ref="D138:E138"/>
    <mergeCell ref="D117:E117"/>
    <mergeCell ref="D118:E118"/>
    <mergeCell ref="D119:E119"/>
    <mergeCell ref="D120:E120"/>
    <mergeCell ref="D121:E121"/>
    <mergeCell ref="C131:E131"/>
    <mergeCell ref="D132:E132"/>
    <mergeCell ref="D133:E133"/>
    <mergeCell ref="D66:E66"/>
    <mergeCell ref="D70:E70"/>
    <mergeCell ref="D99:E99"/>
    <mergeCell ref="D100:E100"/>
    <mergeCell ref="D101:E101"/>
    <mergeCell ref="D110:E110"/>
    <mergeCell ref="C115:E115"/>
    <mergeCell ref="D116:E116"/>
    <mergeCell ref="D93:E93"/>
    <mergeCell ref="D94:E94"/>
    <mergeCell ref="D95:E95"/>
    <mergeCell ref="D96:E96"/>
    <mergeCell ref="D97:E97"/>
    <mergeCell ref="D98:E98"/>
    <mergeCell ref="A71:A119"/>
    <mergeCell ref="B71:B119"/>
    <mergeCell ref="D74:E74"/>
    <mergeCell ref="D75:E75"/>
    <mergeCell ref="D76:E76"/>
    <mergeCell ref="D40:E40"/>
    <mergeCell ref="B41:E41"/>
    <mergeCell ref="A42:A70"/>
    <mergeCell ref="C42:E42"/>
    <mergeCell ref="B43:B70"/>
    <mergeCell ref="C43:E43"/>
    <mergeCell ref="D44:E44"/>
    <mergeCell ref="D45:E45"/>
    <mergeCell ref="D46:E46"/>
    <mergeCell ref="D57:E57"/>
    <mergeCell ref="D77:E77"/>
    <mergeCell ref="D78:E78"/>
    <mergeCell ref="D79:E79"/>
    <mergeCell ref="D86:E86"/>
    <mergeCell ref="D91:E91"/>
    <mergeCell ref="D92:E92"/>
    <mergeCell ref="D58:E58"/>
    <mergeCell ref="D64:E64"/>
    <mergeCell ref="D65:E65"/>
    <mergeCell ref="A1:D1"/>
    <mergeCell ref="A2:D2"/>
    <mergeCell ref="A3:D3"/>
    <mergeCell ref="A8:B8"/>
    <mergeCell ref="B10:E10"/>
    <mergeCell ref="A11:A40"/>
    <mergeCell ref="C11:E11"/>
    <mergeCell ref="B12:B25"/>
    <mergeCell ref="D12:E12"/>
    <mergeCell ref="D20:E20"/>
    <mergeCell ref="B35:B39"/>
    <mergeCell ref="D35:E35"/>
    <mergeCell ref="D36:E36"/>
    <mergeCell ref="D37:E37"/>
    <mergeCell ref="D38:E38"/>
    <mergeCell ref="D39:E39"/>
    <mergeCell ref="D21:E21"/>
    <mergeCell ref="C22:C23"/>
    <mergeCell ref="D24:E24"/>
    <mergeCell ref="D25:E25"/>
    <mergeCell ref="D26:E26"/>
    <mergeCell ref="D34:E3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8"/>
  <sheetViews>
    <sheetView topLeftCell="D171" workbookViewId="0">
      <selection activeCell="M197" sqref="M197"/>
    </sheetView>
  </sheetViews>
  <sheetFormatPr defaultRowHeight="12.75" x14ac:dyDescent="0.2"/>
  <cols>
    <col min="1" max="1" width="3.85546875" customWidth="1"/>
    <col min="2" max="2" width="4" customWidth="1"/>
    <col min="5" max="5" width="40.5703125" customWidth="1"/>
    <col min="6" max="6" width="19.7109375" customWidth="1"/>
    <col min="9" max="9" width="9.85546875" bestFit="1" customWidth="1"/>
    <col min="10" max="12" width="10.42578125" bestFit="1" customWidth="1"/>
    <col min="13" max="13" width="10.42578125" customWidth="1"/>
    <col min="15" max="15" width="10.140625" customWidth="1"/>
  </cols>
  <sheetData>
    <row r="1" spans="1:16" x14ac:dyDescent="0.2">
      <c r="A1" s="938" t="s">
        <v>0</v>
      </c>
      <c r="B1" s="938"/>
      <c r="C1" s="938"/>
      <c r="D1" s="938"/>
    </row>
    <row r="2" spans="1:16" x14ac:dyDescent="0.2">
      <c r="A2" s="938" t="s">
        <v>1</v>
      </c>
      <c r="B2" s="938"/>
      <c r="C2" s="938"/>
      <c r="D2" s="938"/>
      <c r="E2" s="264"/>
      <c r="F2" s="264"/>
      <c r="G2" s="51"/>
      <c r="H2" s="51"/>
      <c r="I2" s="51"/>
      <c r="J2" s="51"/>
      <c r="K2" s="53" t="s">
        <v>11</v>
      </c>
      <c r="L2" s="51"/>
      <c r="M2" s="51"/>
    </row>
    <row r="3" spans="1:16" x14ac:dyDescent="0.2">
      <c r="A3" s="938" t="s">
        <v>2</v>
      </c>
      <c r="B3" s="938"/>
      <c r="C3" s="938"/>
      <c r="D3" s="938"/>
      <c r="E3" s="264"/>
      <c r="F3" s="264"/>
      <c r="G3" s="51"/>
      <c r="H3" s="51"/>
      <c r="I3" s="51"/>
      <c r="J3" s="51"/>
      <c r="K3" s="51"/>
      <c r="L3" s="51"/>
      <c r="M3" s="51"/>
    </row>
    <row r="4" spans="1:16" x14ac:dyDescent="0.2">
      <c r="A4" s="264"/>
      <c r="B4" s="264"/>
      <c r="C4" s="264"/>
      <c r="D4" s="51"/>
      <c r="E4" s="82" t="s">
        <v>3</v>
      </c>
      <c r="F4" s="82"/>
      <c r="G4" s="83"/>
      <c r="H4" s="83"/>
      <c r="I4" s="83"/>
      <c r="J4" s="83"/>
      <c r="K4" s="83"/>
      <c r="L4" s="83"/>
      <c r="M4" s="51">
        <v>1000</v>
      </c>
    </row>
    <row r="5" spans="1:16" x14ac:dyDescent="0.2">
      <c r="A5" s="264"/>
      <c r="B5" s="264"/>
      <c r="C5" s="264"/>
      <c r="D5" s="83"/>
      <c r="E5" s="83" t="s">
        <v>659</v>
      </c>
      <c r="F5" s="83"/>
      <c r="G5" s="83"/>
      <c r="H5" s="83"/>
      <c r="I5" s="83"/>
      <c r="J5" s="83"/>
      <c r="K5" s="83"/>
      <c r="L5" s="51"/>
      <c r="M5" s="51"/>
    </row>
    <row r="6" spans="1:16" x14ac:dyDescent="0.2">
      <c r="A6" s="264"/>
      <c r="B6" s="264"/>
      <c r="C6" s="264"/>
      <c r="D6" s="83"/>
      <c r="E6" s="83"/>
      <c r="F6" s="83"/>
      <c r="G6" s="83"/>
      <c r="H6" s="83"/>
      <c r="I6" s="83"/>
      <c r="J6" s="83"/>
      <c r="K6" s="83"/>
      <c r="L6" s="51"/>
      <c r="M6" s="51"/>
    </row>
    <row r="7" spans="1:16" ht="13.5" thickBot="1" x14ac:dyDescent="0.25">
      <c r="A7" s="264"/>
      <c r="B7" s="264"/>
      <c r="C7" s="264"/>
      <c r="D7" s="83"/>
      <c r="E7" s="264"/>
      <c r="F7" s="264"/>
      <c r="G7" s="83"/>
      <c r="H7" s="83"/>
      <c r="I7" s="83"/>
      <c r="J7" s="83"/>
      <c r="K7" s="83"/>
      <c r="L7" s="51"/>
      <c r="M7" s="51"/>
    </row>
    <row r="8" spans="1:16" ht="34.5" thickBot="1" x14ac:dyDescent="0.25">
      <c r="A8" s="980" t="s">
        <v>308</v>
      </c>
      <c r="B8" s="981"/>
      <c r="C8" s="84"/>
      <c r="D8" s="84"/>
      <c r="E8" s="85" t="s">
        <v>15</v>
      </c>
      <c r="F8" s="85" t="s">
        <v>551</v>
      </c>
      <c r="G8" s="84" t="s">
        <v>309</v>
      </c>
      <c r="H8" s="84"/>
      <c r="I8" s="86" t="s">
        <v>661</v>
      </c>
      <c r="J8" s="84" t="s">
        <v>310</v>
      </c>
      <c r="K8" s="84" t="s">
        <v>311</v>
      </c>
      <c r="L8" s="84" t="s">
        <v>312</v>
      </c>
      <c r="M8" s="84" t="s">
        <v>313</v>
      </c>
      <c r="N8" s="690" t="s">
        <v>658</v>
      </c>
      <c r="O8" s="137" t="s">
        <v>688</v>
      </c>
      <c r="P8" s="722" t="s">
        <v>689</v>
      </c>
    </row>
    <row r="9" spans="1:16" ht="13.5" thickBot="1" x14ac:dyDescent="0.25">
      <c r="A9" s="84" t="s">
        <v>30</v>
      </c>
      <c r="B9" s="84"/>
      <c r="C9" s="84"/>
      <c r="D9" s="84"/>
      <c r="E9" s="85" t="s">
        <v>4</v>
      </c>
      <c r="F9" s="281"/>
      <c r="G9" s="84" t="s">
        <v>314</v>
      </c>
      <c r="H9" s="84"/>
      <c r="I9" s="84" t="s">
        <v>21</v>
      </c>
      <c r="J9" s="84" t="s">
        <v>17</v>
      </c>
      <c r="K9" s="84" t="s">
        <v>18</v>
      </c>
      <c r="L9" s="84" t="s">
        <v>24</v>
      </c>
      <c r="M9" s="84" t="s">
        <v>19</v>
      </c>
      <c r="N9" s="691">
        <v>7</v>
      </c>
      <c r="O9" s="699" t="s">
        <v>21</v>
      </c>
      <c r="P9" s="723"/>
    </row>
    <row r="10" spans="1:16" ht="13.5" thickBot="1" x14ac:dyDescent="0.25">
      <c r="A10" s="87" t="s">
        <v>215</v>
      </c>
      <c r="B10" s="968" t="s">
        <v>462</v>
      </c>
      <c r="C10" s="1011"/>
      <c r="D10" s="1011"/>
      <c r="E10" s="969"/>
      <c r="F10" s="265"/>
      <c r="G10" s="87" t="s">
        <v>4</v>
      </c>
      <c r="H10" s="87"/>
      <c r="I10" s="415">
        <f t="shared" ref="I10:M10" si="0">I11+I34+I40</f>
        <v>123688246</v>
      </c>
      <c r="J10" s="415">
        <f t="shared" si="0"/>
        <v>29390439</v>
      </c>
      <c r="K10" s="415">
        <f t="shared" si="0"/>
        <v>31459716</v>
      </c>
      <c r="L10" s="415">
        <f t="shared" si="0"/>
        <v>31609831</v>
      </c>
      <c r="M10" s="416">
        <f t="shared" si="0"/>
        <v>31228260</v>
      </c>
      <c r="N10" s="353">
        <f t="shared" ref="N10" si="1">N11+N34+N40</f>
        <v>0</v>
      </c>
      <c r="O10" s="700">
        <v>123688246</v>
      </c>
      <c r="P10" s="114">
        <f>I10-O10</f>
        <v>0</v>
      </c>
    </row>
    <row r="11" spans="1:16" ht="13.5" customHeight="1" thickBot="1" x14ac:dyDescent="0.25">
      <c r="A11" s="977"/>
      <c r="B11" s="282" t="s">
        <v>4</v>
      </c>
      <c r="C11" s="1015" t="s">
        <v>113</v>
      </c>
      <c r="D11" s="1016"/>
      <c r="E11" s="1017"/>
      <c r="F11" s="283"/>
      <c r="G11" s="284">
        <f>G10+1</f>
        <v>2</v>
      </c>
      <c r="H11" s="284"/>
      <c r="I11" s="417">
        <f t="shared" ref="I11:M11" si="2">I12+I20+I21+I24+I25+I26</f>
        <v>122738246</v>
      </c>
      <c r="J11" s="417">
        <f t="shared" si="2"/>
        <v>29090439</v>
      </c>
      <c r="K11" s="417">
        <f t="shared" si="2"/>
        <v>31209716</v>
      </c>
      <c r="L11" s="417">
        <f t="shared" si="2"/>
        <v>31409831</v>
      </c>
      <c r="M11" s="418">
        <f t="shared" si="2"/>
        <v>31028260</v>
      </c>
      <c r="N11" s="354">
        <f t="shared" ref="N11" si="3">N12+N20+N21+N24+N25+N26</f>
        <v>0</v>
      </c>
      <c r="O11" s="701">
        <v>122738246</v>
      </c>
      <c r="P11" s="114">
        <f t="shared" ref="P11:P74" si="4">I11-O11</f>
        <v>0</v>
      </c>
    </row>
    <row r="12" spans="1:16" ht="13.5" customHeight="1" thickBot="1" x14ac:dyDescent="0.25">
      <c r="A12" s="978"/>
      <c r="B12" s="1018"/>
      <c r="C12" s="71" t="s">
        <v>27</v>
      </c>
      <c r="D12" s="973" t="s">
        <v>315</v>
      </c>
      <c r="E12" s="974"/>
      <c r="F12" s="268">
        <v>70</v>
      </c>
      <c r="G12" s="84">
        <f>G11+1</f>
        <v>3</v>
      </c>
      <c r="H12" s="84"/>
      <c r="I12" s="405">
        <f t="shared" ref="I12:M12" si="5">I13+I14+I18+I19</f>
        <v>120898246</v>
      </c>
      <c r="J12" s="405">
        <f t="shared" si="5"/>
        <v>28690439</v>
      </c>
      <c r="K12" s="405">
        <f t="shared" si="5"/>
        <v>30739716</v>
      </c>
      <c r="L12" s="405">
        <f t="shared" si="5"/>
        <v>30889831</v>
      </c>
      <c r="M12" s="419">
        <f t="shared" si="5"/>
        <v>30578260</v>
      </c>
      <c r="N12" s="113">
        <f t="shared" ref="N12" si="6">N13+N14+N18+N19</f>
        <v>0</v>
      </c>
      <c r="O12" s="443">
        <v>120898246</v>
      </c>
      <c r="P12" s="114">
        <f t="shared" si="4"/>
        <v>0</v>
      </c>
    </row>
    <row r="13" spans="1:16" ht="13.5" thickBot="1" x14ac:dyDescent="0.25">
      <c r="A13" s="978"/>
      <c r="B13" s="1019"/>
      <c r="C13" s="71"/>
      <c r="D13" s="71" t="s">
        <v>237</v>
      </c>
      <c r="E13" s="71" t="s">
        <v>316</v>
      </c>
      <c r="F13" s="86"/>
      <c r="G13" s="84">
        <f t="shared" ref="G13:G76" si="7">G12+1</f>
        <v>4</v>
      </c>
      <c r="H13" s="84"/>
      <c r="I13" s="405">
        <f t="shared" ref="I13:I19" si="8">SUM(J13:M13)</f>
        <v>0</v>
      </c>
      <c r="J13" s="405"/>
      <c r="K13" s="405"/>
      <c r="L13" s="405"/>
      <c r="M13" s="419"/>
      <c r="N13" s="113"/>
      <c r="O13" s="443">
        <v>0</v>
      </c>
      <c r="P13" s="114">
        <f t="shared" si="4"/>
        <v>0</v>
      </c>
    </row>
    <row r="14" spans="1:16" ht="13.5" thickBot="1" x14ac:dyDescent="0.25">
      <c r="A14" s="978"/>
      <c r="B14" s="1019"/>
      <c r="C14" s="71"/>
      <c r="D14" s="71" t="s">
        <v>66</v>
      </c>
      <c r="E14" s="71" t="s">
        <v>317</v>
      </c>
      <c r="F14" s="86">
        <v>704</v>
      </c>
      <c r="G14" s="84">
        <f>G13+1</f>
        <v>5</v>
      </c>
      <c r="H14" s="84"/>
      <c r="I14" s="405">
        <f t="shared" si="8"/>
        <v>120628246</v>
      </c>
      <c r="J14" s="402">
        <f t="shared" ref="J14:M14" si="9">SUM(J15:J17)</f>
        <v>28635439</v>
      </c>
      <c r="K14" s="402">
        <f t="shared" si="9"/>
        <v>30664716</v>
      </c>
      <c r="L14" s="402">
        <f t="shared" si="9"/>
        <v>30814831</v>
      </c>
      <c r="M14" s="402">
        <f t="shared" si="9"/>
        <v>30513260</v>
      </c>
      <c r="N14" s="355"/>
      <c r="O14" s="443">
        <v>120628246</v>
      </c>
      <c r="P14" s="114">
        <f t="shared" si="4"/>
        <v>0</v>
      </c>
    </row>
    <row r="15" spans="1:16" ht="13.5" thickBot="1" x14ac:dyDescent="0.25">
      <c r="A15" s="978"/>
      <c r="B15" s="1019"/>
      <c r="C15" s="71"/>
      <c r="D15" s="71"/>
      <c r="E15" s="71"/>
      <c r="F15" s="286" t="s">
        <v>552</v>
      </c>
      <c r="G15" s="84"/>
      <c r="H15" s="84"/>
      <c r="I15" s="405">
        <f t="shared" si="8"/>
        <v>56735583</v>
      </c>
      <c r="J15" s="402">
        <v>14180349</v>
      </c>
      <c r="K15" s="402">
        <v>14299973</v>
      </c>
      <c r="L15" s="402">
        <v>13836612</v>
      </c>
      <c r="M15" s="403">
        <v>14418649</v>
      </c>
      <c r="N15" s="355"/>
      <c r="O15" s="443">
        <v>56735583</v>
      </c>
      <c r="P15" s="114">
        <f t="shared" si="4"/>
        <v>0</v>
      </c>
    </row>
    <row r="16" spans="1:16" ht="13.5" thickBot="1" x14ac:dyDescent="0.25">
      <c r="A16" s="978"/>
      <c r="B16" s="1019"/>
      <c r="C16" s="71"/>
      <c r="D16" s="71"/>
      <c r="E16" s="71"/>
      <c r="F16" s="286" t="s">
        <v>553</v>
      </c>
      <c r="G16" s="84"/>
      <c r="H16" s="84"/>
      <c r="I16" s="405">
        <f t="shared" si="8"/>
        <v>63782663</v>
      </c>
      <c r="J16" s="402">
        <v>14430090</v>
      </c>
      <c r="K16" s="402">
        <v>16334743</v>
      </c>
      <c r="L16" s="402">
        <v>16948219</v>
      </c>
      <c r="M16" s="403">
        <v>16069611</v>
      </c>
      <c r="N16" s="355"/>
      <c r="O16" s="443">
        <v>63782663</v>
      </c>
      <c r="P16" s="114">
        <f t="shared" si="4"/>
        <v>0</v>
      </c>
    </row>
    <row r="17" spans="1:16" ht="13.5" thickBot="1" x14ac:dyDescent="0.25">
      <c r="A17" s="978"/>
      <c r="B17" s="1019"/>
      <c r="C17" s="71"/>
      <c r="D17" s="71"/>
      <c r="E17" s="71"/>
      <c r="F17" s="286" t="s">
        <v>554</v>
      </c>
      <c r="G17" s="84"/>
      <c r="H17" s="84"/>
      <c r="I17" s="405">
        <f t="shared" si="8"/>
        <v>110000</v>
      </c>
      <c r="J17" s="402">
        <v>25000</v>
      </c>
      <c r="K17" s="402">
        <v>30000</v>
      </c>
      <c r="L17" s="402">
        <v>30000</v>
      </c>
      <c r="M17" s="403">
        <v>25000</v>
      </c>
      <c r="N17" s="355"/>
      <c r="O17" s="443">
        <v>110000</v>
      </c>
      <c r="P17" s="114">
        <f t="shared" si="4"/>
        <v>0</v>
      </c>
    </row>
    <row r="18" spans="1:16" ht="13.5" thickBot="1" x14ac:dyDescent="0.25">
      <c r="A18" s="978"/>
      <c r="B18" s="1019"/>
      <c r="C18" s="71"/>
      <c r="D18" s="71" t="s">
        <v>318</v>
      </c>
      <c r="E18" s="71" t="s">
        <v>319</v>
      </c>
      <c r="F18" s="86" t="s">
        <v>555</v>
      </c>
      <c r="G18" s="84">
        <f>G14+1</f>
        <v>6</v>
      </c>
      <c r="H18" s="84"/>
      <c r="I18" s="405">
        <f t="shared" si="8"/>
        <v>60000</v>
      </c>
      <c r="J18" s="402">
        <v>15000</v>
      </c>
      <c r="K18" s="402">
        <v>15000</v>
      </c>
      <c r="L18" s="402">
        <v>15000</v>
      </c>
      <c r="M18" s="403">
        <v>15000</v>
      </c>
      <c r="N18" s="356"/>
      <c r="O18" s="443">
        <v>60000</v>
      </c>
      <c r="P18" s="114">
        <f t="shared" si="4"/>
        <v>0</v>
      </c>
    </row>
    <row r="19" spans="1:16" ht="23.25" thickBot="1" x14ac:dyDescent="0.25">
      <c r="A19" s="978"/>
      <c r="B19" s="1019"/>
      <c r="C19" s="71"/>
      <c r="D19" s="71" t="s">
        <v>320</v>
      </c>
      <c r="E19" s="71" t="s">
        <v>321</v>
      </c>
      <c r="F19" s="86" t="s">
        <v>556</v>
      </c>
      <c r="G19" s="84">
        <f t="shared" si="7"/>
        <v>7</v>
      </c>
      <c r="H19" s="84"/>
      <c r="I19" s="405">
        <f t="shared" si="8"/>
        <v>210000</v>
      </c>
      <c r="J19" s="402">
        <v>40000</v>
      </c>
      <c r="K19" s="402">
        <v>60000</v>
      </c>
      <c r="L19" s="402">
        <v>60000</v>
      </c>
      <c r="M19" s="403">
        <v>50000</v>
      </c>
      <c r="N19" s="356"/>
      <c r="O19" s="443">
        <v>210000</v>
      </c>
      <c r="P19" s="114">
        <f t="shared" si="4"/>
        <v>0</v>
      </c>
    </row>
    <row r="20" spans="1:16" ht="17.25" customHeight="1" thickBot="1" x14ac:dyDescent="0.25">
      <c r="A20" s="978"/>
      <c r="B20" s="1019"/>
      <c r="C20" s="71" t="s">
        <v>38</v>
      </c>
      <c r="D20" s="973" t="s">
        <v>322</v>
      </c>
      <c r="E20" s="974"/>
      <c r="F20" s="268"/>
      <c r="G20" s="84">
        <f t="shared" si="7"/>
        <v>8</v>
      </c>
      <c r="H20" s="84"/>
      <c r="I20" s="405"/>
      <c r="J20" s="405"/>
      <c r="K20" s="405"/>
      <c r="L20" s="405"/>
      <c r="M20" s="419"/>
      <c r="N20" s="113"/>
      <c r="O20" s="443"/>
      <c r="P20" s="114">
        <f t="shared" si="4"/>
        <v>0</v>
      </c>
    </row>
    <row r="21" spans="1:16" ht="21" customHeight="1" thickBot="1" x14ac:dyDescent="0.25">
      <c r="A21" s="978"/>
      <c r="B21" s="1019"/>
      <c r="C21" s="71" t="s">
        <v>40</v>
      </c>
      <c r="D21" s="973" t="s">
        <v>323</v>
      </c>
      <c r="E21" s="974"/>
      <c r="F21" s="268"/>
      <c r="G21" s="84">
        <f t="shared" si="7"/>
        <v>9</v>
      </c>
      <c r="H21" s="84"/>
      <c r="I21" s="405">
        <f t="shared" ref="I21:M21" si="10">I22+I23</f>
        <v>0</v>
      </c>
      <c r="J21" s="405">
        <f>J22+J23</f>
        <v>0</v>
      </c>
      <c r="K21" s="405">
        <f t="shared" si="10"/>
        <v>0</v>
      </c>
      <c r="L21" s="405">
        <f t="shared" si="10"/>
        <v>0</v>
      </c>
      <c r="M21" s="419">
        <f t="shared" si="10"/>
        <v>0</v>
      </c>
      <c r="N21" s="113">
        <f t="shared" ref="N21" si="11">N22+N23</f>
        <v>0</v>
      </c>
      <c r="O21" s="443">
        <v>0</v>
      </c>
      <c r="P21" s="114">
        <f t="shared" si="4"/>
        <v>0</v>
      </c>
    </row>
    <row r="22" spans="1:16" ht="23.25" thickBot="1" x14ac:dyDescent="0.25">
      <c r="A22" s="978"/>
      <c r="B22" s="1019"/>
      <c r="C22" s="1018"/>
      <c r="D22" s="71" t="s">
        <v>324</v>
      </c>
      <c r="E22" s="71" t="s">
        <v>325</v>
      </c>
      <c r="F22" s="86" t="s">
        <v>557</v>
      </c>
      <c r="G22" s="84">
        <f t="shared" si="7"/>
        <v>10</v>
      </c>
      <c r="H22" s="84"/>
      <c r="I22" s="405">
        <f>SUM(J22:M22)</f>
        <v>0</v>
      </c>
      <c r="J22" s="405"/>
      <c r="K22" s="405"/>
      <c r="L22" s="405"/>
      <c r="M22" s="419"/>
      <c r="N22" s="692"/>
      <c r="O22" s="443">
        <v>0</v>
      </c>
      <c r="P22" s="114">
        <f t="shared" si="4"/>
        <v>0</v>
      </c>
    </row>
    <row r="23" spans="1:16" ht="13.5" thickBot="1" x14ac:dyDescent="0.25">
      <c r="A23" s="978"/>
      <c r="B23" s="1019"/>
      <c r="C23" s="1020"/>
      <c r="D23" s="71" t="s">
        <v>67</v>
      </c>
      <c r="E23" s="71" t="s">
        <v>32</v>
      </c>
      <c r="F23" s="86"/>
      <c r="G23" s="84">
        <f t="shared" si="7"/>
        <v>11</v>
      </c>
      <c r="H23" s="84"/>
      <c r="I23" s="405">
        <f>SUM(J23:M23)</f>
        <v>0</v>
      </c>
      <c r="J23" s="405"/>
      <c r="K23" s="405"/>
      <c r="L23" s="405"/>
      <c r="M23" s="419"/>
      <c r="N23" s="692"/>
      <c r="O23" s="443">
        <v>0</v>
      </c>
      <c r="P23" s="114">
        <f t="shared" si="4"/>
        <v>0</v>
      </c>
    </row>
    <row r="24" spans="1:16" ht="13.5" thickBot="1" x14ac:dyDescent="0.25">
      <c r="A24" s="978"/>
      <c r="B24" s="1019"/>
      <c r="C24" s="71" t="s">
        <v>42</v>
      </c>
      <c r="D24" s="973" t="s">
        <v>326</v>
      </c>
      <c r="E24" s="974"/>
      <c r="F24" s="268" t="s">
        <v>558</v>
      </c>
      <c r="G24" s="84">
        <f t="shared" si="7"/>
        <v>12</v>
      </c>
      <c r="H24" s="477"/>
      <c r="I24" s="478">
        <f>SUM(J24:M24)</f>
        <v>600000</v>
      </c>
      <c r="J24" s="478">
        <v>100000</v>
      </c>
      <c r="K24" s="478">
        <v>150000</v>
      </c>
      <c r="L24" s="478">
        <v>200000</v>
      </c>
      <c r="M24" s="479">
        <v>150000</v>
      </c>
      <c r="N24" s="692"/>
      <c r="O24" s="702">
        <v>600000</v>
      </c>
      <c r="P24" s="114">
        <f t="shared" si="4"/>
        <v>0</v>
      </c>
    </row>
    <row r="25" spans="1:16" ht="18.75" customHeight="1" thickBot="1" x14ac:dyDescent="0.25">
      <c r="A25" s="978"/>
      <c r="B25" s="1020"/>
      <c r="C25" s="71" t="s">
        <v>28</v>
      </c>
      <c r="D25" s="973" t="s">
        <v>327</v>
      </c>
      <c r="E25" s="974"/>
      <c r="F25" s="268"/>
      <c r="G25" s="84">
        <f t="shared" si="7"/>
        <v>13</v>
      </c>
      <c r="H25" s="84"/>
      <c r="I25" s="402"/>
      <c r="J25" s="402"/>
      <c r="K25" s="402"/>
      <c r="L25" s="402"/>
      <c r="M25" s="403"/>
      <c r="N25" s="692"/>
      <c r="O25" s="703"/>
      <c r="P25" s="114">
        <f t="shared" si="4"/>
        <v>0</v>
      </c>
    </row>
    <row r="26" spans="1:16" ht="25.5" customHeight="1" thickBot="1" x14ac:dyDescent="0.25">
      <c r="A26" s="978"/>
      <c r="B26" s="71"/>
      <c r="C26" s="71" t="s">
        <v>34</v>
      </c>
      <c r="D26" s="973" t="s">
        <v>328</v>
      </c>
      <c r="E26" s="974"/>
      <c r="F26" s="268"/>
      <c r="G26" s="84">
        <f>G25+1</f>
        <v>14</v>
      </c>
      <c r="H26" s="84"/>
      <c r="I26" s="402">
        <f t="shared" ref="I26:M26" si="12">I27+I28+I31+I32+I33</f>
        <v>1240000</v>
      </c>
      <c r="J26" s="402">
        <f t="shared" si="12"/>
        <v>300000</v>
      </c>
      <c r="K26" s="402">
        <f t="shared" si="12"/>
        <v>320000</v>
      </c>
      <c r="L26" s="402">
        <f t="shared" si="12"/>
        <v>320000</v>
      </c>
      <c r="M26" s="403">
        <f t="shared" si="12"/>
        <v>300000</v>
      </c>
      <c r="N26" s="358">
        <f t="shared" ref="N26" si="13">N27+N28+N31+N32+N33</f>
        <v>0</v>
      </c>
      <c r="O26" s="703">
        <v>1240000</v>
      </c>
      <c r="P26" s="114">
        <f t="shared" si="4"/>
        <v>0</v>
      </c>
    </row>
    <row r="27" spans="1:16" ht="23.25" thickBot="1" x14ac:dyDescent="0.25">
      <c r="A27" s="978"/>
      <c r="B27" s="71"/>
      <c r="C27" s="71"/>
      <c r="D27" s="71" t="s">
        <v>329</v>
      </c>
      <c r="E27" s="71" t="s">
        <v>330</v>
      </c>
      <c r="F27" s="86" t="s">
        <v>559</v>
      </c>
      <c r="G27" s="84">
        <f t="shared" si="7"/>
        <v>15</v>
      </c>
      <c r="H27" s="84"/>
      <c r="I27" s="402">
        <f>SUM(J27:M27)</f>
        <v>440000</v>
      </c>
      <c r="J27" s="402">
        <v>100000</v>
      </c>
      <c r="K27" s="402">
        <v>120000</v>
      </c>
      <c r="L27" s="402">
        <v>120000</v>
      </c>
      <c r="M27" s="403">
        <v>100000</v>
      </c>
      <c r="N27" s="692"/>
      <c r="O27" s="703">
        <v>440000</v>
      </c>
      <c r="P27" s="114">
        <f t="shared" si="4"/>
        <v>0</v>
      </c>
    </row>
    <row r="28" spans="1:16" ht="23.25" thickBot="1" x14ac:dyDescent="0.25">
      <c r="A28" s="978"/>
      <c r="B28" s="71"/>
      <c r="C28" s="71"/>
      <c r="D28" s="71" t="s">
        <v>52</v>
      </c>
      <c r="E28" s="71" t="s">
        <v>331</v>
      </c>
      <c r="F28" s="86"/>
      <c r="G28" s="84">
        <f t="shared" si="7"/>
        <v>16</v>
      </c>
      <c r="H28" s="84"/>
      <c r="I28" s="402">
        <f t="shared" ref="I28:M28" si="14">SUM(I29:I30)</f>
        <v>0</v>
      </c>
      <c r="J28" s="402">
        <f t="shared" si="14"/>
        <v>0</v>
      </c>
      <c r="K28" s="402">
        <f t="shared" si="14"/>
        <v>0</v>
      </c>
      <c r="L28" s="402">
        <f t="shared" si="14"/>
        <v>0</v>
      </c>
      <c r="M28" s="403">
        <f t="shared" si="14"/>
        <v>0</v>
      </c>
      <c r="N28" s="358">
        <f t="shared" ref="N28" si="15">SUM(N29:N30)</f>
        <v>0</v>
      </c>
      <c r="O28" s="703">
        <v>0</v>
      </c>
      <c r="P28" s="114">
        <f t="shared" si="4"/>
        <v>0</v>
      </c>
    </row>
    <row r="29" spans="1:16" ht="13.5" thickBot="1" x14ac:dyDescent="0.25">
      <c r="A29" s="978"/>
      <c r="B29" s="71"/>
      <c r="C29" s="71"/>
      <c r="D29" s="71"/>
      <c r="E29" s="71" t="s">
        <v>332</v>
      </c>
      <c r="F29" s="86" t="s">
        <v>560</v>
      </c>
      <c r="G29" s="84">
        <f t="shared" si="7"/>
        <v>17</v>
      </c>
      <c r="H29" s="84"/>
      <c r="I29" s="420">
        <f>SUM(J29:M29)</f>
        <v>0</v>
      </c>
      <c r="J29" s="402">
        <v>0</v>
      </c>
      <c r="K29" s="402">
        <v>0</v>
      </c>
      <c r="L29" s="402">
        <v>0</v>
      </c>
      <c r="M29" s="403">
        <v>0</v>
      </c>
      <c r="N29" s="358">
        <v>0</v>
      </c>
      <c r="O29" s="704">
        <v>0</v>
      </c>
      <c r="P29" s="114">
        <f t="shared" si="4"/>
        <v>0</v>
      </c>
    </row>
    <row r="30" spans="1:16" ht="13.5" thickBot="1" x14ac:dyDescent="0.25">
      <c r="A30" s="978"/>
      <c r="B30" s="71"/>
      <c r="C30" s="71"/>
      <c r="D30" s="71"/>
      <c r="E30" s="71" t="s">
        <v>333</v>
      </c>
      <c r="F30" s="86" t="s">
        <v>561</v>
      </c>
      <c r="G30" s="84">
        <f t="shared" si="7"/>
        <v>18</v>
      </c>
      <c r="H30" s="84"/>
      <c r="I30" s="420">
        <f>SUM(J30:M30)</f>
        <v>0</v>
      </c>
      <c r="J30" s="402"/>
      <c r="K30" s="402"/>
      <c r="L30" s="402"/>
      <c r="M30" s="403"/>
      <c r="N30" s="358"/>
      <c r="O30" s="704">
        <v>0</v>
      </c>
      <c r="P30" s="114">
        <f t="shared" si="4"/>
        <v>0</v>
      </c>
    </row>
    <row r="31" spans="1:16" ht="13.5" thickBot="1" x14ac:dyDescent="0.25">
      <c r="A31" s="978"/>
      <c r="B31" s="102"/>
      <c r="C31" s="102"/>
      <c r="D31" s="102" t="s">
        <v>53</v>
      </c>
      <c r="E31" s="102" t="s">
        <v>334</v>
      </c>
      <c r="F31" s="290" t="s">
        <v>562</v>
      </c>
      <c r="G31" s="84">
        <f t="shared" si="7"/>
        <v>19</v>
      </c>
      <c r="H31" s="84"/>
      <c r="I31" s="420">
        <f>SUM(J31:M31)</f>
        <v>0</v>
      </c>
      <c r="J31" s="420">
        <v>0</v>
      </c>
      <c r="K31" s="420">
        <v>0</v>
      </c>
      <c r="L31" s="420">
        <v>0</v>
      </c>
      <c r="M31" s="421">
        <v>0</v>
      </c>
      <c r="N31" s="359">
        <v>0</v>
      </c>
      <c r="O31" s="704">
        <v>0</v>
      </c>
      <c r="P31" s="114">
        <f t="shared" si="4"/>
        <v>0</v>
      </c>
    </row>
    <row r="32" spans="1:16" ht="13.5" thickBot="1" x14ac:dyDescent="0.25">
      <c r="A32" s="978"/>
      <c r="B32" s="102"/>
      <c r="C32" s="102"/>
      <c r="D32" s="102" t="s">
        <v>54</v>
      </c>
      <c r="E32" s="102" t="s">
        <v>335</v>
      </c>
      <c r="F32" s="290"/>
      <c r="G32" s="84">
        <f t="shared" si="7"/>
        <v>20</v>
      </c>
      <c r="H32" s="84"/>
      <c r="I32" s="420">
        <f>SUM(J32:M32)</f>
        <v>0</v>
      </c>
      <c r="J32" s="420"/>
      <c r="K32" s="420"/>
      <c r="L32" s="420"/>
      <c r="M32" s="421"/>
      <c r="N32" s="692"/>
      <c r="O32" s="704">
        <v>0</v>
      </c>
      <c r="P32" s="114">
        <f t="shared" si="4"/>
        <v>0</v>
      </c>
    </row>
    <row r="33" spans="1:16" ht="13.5" thickBot="1" x14ac:dyDescent="0.25">
      <c r="A33" s="978"/>
      <c r="B33" s="102"/>
      <c r="C33" s="102"/>
      <c r="D33" s="102" t="s">
        <v>55</v>
      </c>
      <c r="E33" s="102" t="s">
        <v>321</v>
      </c>
      <c r="F33" s="290" t="s">
        <v>563</v>
      </c>
      <c r="G33" s="84">
        <f t="shared" si="7"/>
        <v>21</v>
      </c>
      <c r="H33" s="84"/>
      <c r="I33" s="420">
        <f>SUM(J33:M33)</f>
        <v>800000</v>
      </c>
      <c r="J33" s="420">
        <v>200000</v>
      </c>
      <c r="K33" s="420">
        <v>200000</v>
      </c>
      <c r="L33" s="420">
        <v>200000</v>
      </c>
      <c r="M33" s="421">
        <v>200000</v>
      </c>
      <c r="N33" s="692"/>
      <c r="O33" s="704">
        <v>800000</v>
      </c>
      <c r="P33" s="114">
        <f t="shared" si="4"/>
        <v>0</v>
      </c>
    </row>
    <row r="34" spans="1:16" ht="13.5" customHeight="1" thickBot="1" x14ac:dyDescent="0.25">
      <c r="A34" s="978"/>
      <c r="B34" s="282" t="s">
        <v>21</v>
      </c>
      <c r="C34" s="282"/>
      <c r="D34" s="1015" t="s">
        <v>336</v>
      </c>
      <c r="E34" s="1017"/>
      <c r="F34" s="283"/>
      <c r="G34" s="284">
        <f t="shared" si="7"/>
        <v>22</v>
      </c>
      <c r="H34" s="480"/>
      <c r="I34" s="481">
        <f t="shared" ref="I34:M34" si="16">I35+I36+I37+I38+I39</f>
        <v>950000</v>
      </c>
      <c r="J34" s="481">
        <f t="shared" si="16"/>
        <v>300000</v>
      </c>
      <c r="K34" s="481">
        <f t="shared" si="16"/>
        <v>250000</v>
      </c>
      <c r="L34" s="481">
        <f t="shared" si="16"/>
        <v>200000</v>
      </c>
      <c r="M34" s="482">
        <f t="shared" si="16"/>
        <v>200000</v>
      </c>
      <c r="N34" s="360">
        <f t="shared" ref="N34" si="17">N35+N36+N37+N38+N39</f>
        <v>0</v>
      </c>
      <c r="O34" s="705">
        <v>950000</v>
      </c>
      <c r="P34" s="114">
        <f t="shared" si="4"/>
        <v>0</v>
      </c>
    </row>
    <row r="35" spans="1:16" ht="13.5" customHeight="1" thickBot="1" x14ac:dyDescent="0.25">
      <c r="A35" s="978"/>
      <c r="B35" s="1018"/>
      <c r="C35" s="71" t="s">
        <v>27</v>
      </c>
      <c r="D35" s="973" t="s">
        <v>337</v>
      </c>
      <c r="E35" s="974"/>
      <c r="F35" s="268"/>
      <c r="G35" s="84">
        <f t="shared" si="7"/>
        <v>23</v>
      </c>
      <c r="H35" s="84"/>
      <c r="I35" s="402">
        <f t="shared" ref="I35:I40" si="18">SUM(J35:M35)</f>
        <v>0</v>
      </c>
      <c r="J35" s="402"/>
      <c r="K35" s="402"/>
      <c r="L35" s="402"/>
      <c r="M35" s="403"/>
      <c r="N35" s="358"/>
      <c r="O35" s="703">
        <v>0</v>
      </c>
      <c r="P35" s="114">
        <f t="shared" si="4"/>
        <v>0</v>
      </c>
    </row>
    <row r="36" spans="1:16" ht="13.5" customHeight="1" thickBot="1" x14ac:dyDescent="0.25">
      <c r="A36" s="978"/>
      <c r="B36" s="1019"/>
      <c r="C36" s="71" t="s">
        <v>38</v>
      </c>
      <c r="D36" s="973" t="s">
        <v>338</v>
      </c>
      <c r="E36" s="974"/>
      <c r="F36" s="268"/>
      <c r="G36" s="84">
        <f t="shared" si="7"/>
        <v>24</v>
      </c>
      <c r="H36" s="84"/>
      <c r="I36" s="402">
        <f t="shared" si="18"/>
        <v>0</v>
      </c>
      <c r="J36" s="402"/>
      <c r="K36" s="402"/>
      <c r="L36" s="402"/>
      <c r="M36" s="403"/>
      <c r="N36" s="358"/>
      <c r="O36" s="703">
        <v>0</v>
      </c>
      <c r="P36" s="114">
        <f t="shared" si="4"/>
        <v>0</v>
      </c>
    </row>
    <row r="37" spans="1:16" ht="13.5" thickBot="1" x14ac:dyDescent="0.25">
      <c r="A37" s="978"/>
      <c r="B37" s="1019"/>
      <c r="C37" s="71" t="s">
        <v>40</v>
      </c>
      <c r="D37" s="973" t="s">
        <v>339</v>
      </c>
      <c r="E37" s="974"/>
      <c r="F37" s="268" t="s">
        <v>564</v>
      </c>
      <c r="G37" s="84">
        <f t="shared" si="7"/>
        <v>25</v>
      </c>
      <c r="H37" s="84"/>
      <c r="I37" s="420">
        <f t="shared" si="18"/>
        <v>450000</v>
      </c>
      <c r="J37" s="402">
        <v>150000</v>
      </c>
      <c r="K37" s="402">
        <v>100000</v>
      </c>
      <c r="L37" s="402">
        <v>100000</v>
      </c>
      <c r="M37" s="403">
        <v>100000</v>
      </c>
      <c r="N37" s="358"/>
      <c r="O37" s="704">
        <v>450000</v>
      </c>
      <c r="P37" s="114">
        <f t="shared" si="4"/>
        <v>0</v>
      </c>
    </row>
    <row r="38" spans="1:16" ht="13.5" thickBot="1" x14ac:dyDescent="0.25">
      <c r="A38" s="978"/>
      <c r="B38" s="1019"/>
      <c r="C38" s="71" t="s">
        <v>42</v>
      </c>
      <c r="D38" s="973" t="s">
        <v>340</v>
      </c>
      <c r="E38" s="974"/>
      <c r="F38" s="268" t="s">
        <v>565</v>
      </c>
      <c r="G38" s="84">
        <f t="shared" si="7"/>
        <v>26</v>
      </c>
      <c r="H38" s="84"/>
      <c r="I38" s="402">
        <f t="shared" si="18"/>
        <v>500000</v>
      </c>
      <c r="J38" s="402">
        <v>150000</v>
      </c>
      <c r="K38" s="402">
        <v>150000</v>
      </c>
      <c r="L38" s="402">
        <v>100000</v>
      </c>
      <c r="M38" s="403">
        <v>100000</v>
      </c>
      <c r="N38" s="358"/>
      <c r="O38" s="703">
        <v>500000</v>
      </c>
      <c r="P38" s="114">
        <f t="shared" si="4"/>
        <v>0</v>
      </c>
    </row>
    <row r="39" spans="1:16" ht="13.5" thickBot="1" x14ac:dyDescent="0.25">
      <c r="A39" s="978"/>
      <c r="B39" s="1020"/>
      <c r="C39" s="71" t="s">
        <v>28</v>
      </c>
      <c r="D39" s="973" t="s">
        <v>341</v>
      </c>
      <c r="E39" s="974"/>
      <c r="F39" s="268" t="s">
        <v>566</v>
      </c>
      <c r="G39" s="84">
        <f t="shared" si="7"/>
        <v>27</v>
      </c>
      <c r="H39" s="84"/>
      <c r="I39" s="402">
        <f t="shared" si="18"/>
        <v>0</v>
      </c>
      <c r="J39" s="402"/>
      <c r="K39" s="402"/>
      <c r="L39" s="402"/>
      <c r="M39" s="403"/>
      <c r="N39" s="358"/>
      <c r="O39" s="703">
        <v>0</v>
      </c>
      <c r="P39" s="114">
        <f t="shared" si="4"/>
        <v>0</v>
      </c>
    </row>
    <row r="40" spans="1:16" ht="13.5" customHeight="1" thickBot="1" x14ac:dyDescent="0.25">
      <c r="A40" s="979"/>
      <c r="B40" s="71" t="s">
        <v>17</v>
      </c>
      <c r="C40" s="71"/>
      <c r="D40" s="973" t="s">
        <v>115</v>
      </c>
      <c r="E40" s="974"/>
      <c r="F40" s="268"/>
      <c r="G40" s="84">
        <f t="shared" si="7"/>
        <v>28</v>
      </c>
      <c r="H40" s="84"/>
      <c r="I40" s="402">
        <f t="shared" si="18"/>
        <v>0</v>
      </c>
      <c r="J40" s="402"/>
      <c r="K40" s="402"/>
      <c r="L40" s="402"/>
      <c r="M40" s="403"/>
      <c r="N40" s="358"/>
      <c r="O40" s="703">
        <v>0</v>
      </c>
      <c r="P40" s="114">
        <f t="shared" si="4"/>
        <v>0</v>
      </c>
    </row>
    <row r="41" spans="1:16" ht="13.5" customHeight="1" thickBot="1" x14ac:dyDescent="0.25">
      <c r="A41" s="87" t="s">
        <v>23</v>
      </c>
      <c r="B41" s="1023" t="s">
        <v>463</v>
      </c>
      <c r="C41" s="1024"/>
      <c r="D41" s="1024"/>
      <c r="E41" s="1025"/>
      <c r="F41" s="292"/>
      <c r="G41" s="284">
        <f t="shared" si="7"/>
        <v>29</v>
      </c>
      <c r="H41" s="284"/>
      <c r="I41" s="415">
        <f t="shared" ref="I41:M41" si="19">I42+I182+I190</f>
        <v>111880154.77985999</v>
      </c>
      <c r="J41" s="415">
        <f t="shared" si="19"/>
        <v>23550761.602200001</v>
      </c>
      <c r="K41" s="415">
        <f t="shared" si="19"/>
        <v>26150870.298140001</v>
      </c>
      <c r="L41" s="415">
        <f t="shared" si="19"/>
        <v>29202040.665320002</v>
      </c>
      <c r="M41" s="416">
        <f t="shared" si="19"/>
        <v>32976482.214199997</v>
      </c>
      <c r="N41" s="353">
        <f t="shared" ref="N41" si="20">N42+N182+N190</f>
        <v>0</v>
      </c>
      <c r="O41" s="700">
        <v>106365154.77985999</v>
      </c>
      <c r="P41" s="732">
        <f t="shared" si="4"/>
        <v>5515000</v>
      </c>
    </row>
    <row r="42" spans="1:16" ht="13.5" customHeight="1" thickBot="1" x14ac:dyDescent="0.25">
      <c r="A42" s="977"/>
      <c r="B42" s="293" t="s">
        <v>4</v>
      </c>
      <c r="C42" s="1026" t="s">
        <v>464</v>
      </c>
      <c r="D42" s="1027"/>
      <c r="E42" s="1028"/>
      <c r="F42" s="269"/>
      <c r="G42" s="97">
        <f t="shared" si="7"/>
        <v>30</v>
      </c>
      <c r="H42" s="97"/>
      <c r="I42" s="424">
        <f t="shared" ref="I42:M42" si="21">I43+I115+I131+I165</f>
        <v>110070154.77985999</v>
      </c>
      <c r="J42" s="424">
        <f t="shared" si="21"/>
        <v>22980761.602200001</v>
      </c>
      <c r="K42" s="424">
        <f t="shared" si="21"/>
        <v>25950870.298140001</v>
      </c>
      <c r="L42" s="424">
        <f t="shared" si="21"/>
        <v>28447040.665320002</v>
      </c>
      <c r="M42" s="425">
        <f t="shared" si="21"/>
        <v>32691482.214199997</v>
      </c>
      <c r="N42" s="361">
        <f t="shared" ref="N42" si="22">N43+N115+N131+N165</f>
        <v>0</v>
      </c>
      <c r="O42" s="706">
        <v>104555154.77985999</v>
      </c>
      <c r="P42" s="732">
        <f t="shared" si="4"/>
        <v>5515000</v>
      </c>
    </row>
    <row r="43" spans="1:16" ht="13.5" customHeight="1" thickBot="1" x14ac:dyDescent="0.25">
      <c r="A43" s="978"/>
      <c r="B43" s="1029"/>
      <c r="C43" s="1026" t="s">
        <v>473</v>
      </c>
      <c r="D43" s="1027"/>
      <c r="E43" s="1028"/>
      <c r="F43" s="269"/>
      <c r="G43" s="97">
        <f t="shared" si="7"/>
        <v>31</v>
      </c>
      <c r="H43" s="97"/>
      <c r="I43" s="424">
        <f t="shared" ref="I43:M43" si="23">I44+I65+I75</f>
        <v>48108500</v>
      </c>
      <c r="J43" s="424">
        <f t="shared" si="23"/>
        <v>10885900</v>
      </c>
      <c r="K43" s="424">
        <f t="shared" si="23"/>
        <v>12383600</v>
      </c>
      <c r="L43" s="424">
        <f t="shared" si="23"/>
        <v>13029100</v>
      </c>
      <c r="M43" s="425">
        <f t="shared" si="23"/>
        <v>11809900</v>
      </c>
      <c r="N43" s="361">
        <f t="shared" ref="N43" si="24">N44+N65+N75</f>
        <v>0</v>
      </c>
      <c r="O43" s="706">
        <v>47793500</v>
      </c>
      <c r="P43" s="732">
        <f t="shared" si="4"/>
        <v>315000</v>
      </c>
    </row>
    <row r="44" spans="1:16" ht="13.5" customHeight="1" thickBot="1" x14ac:dyDescent="0.25">
      <c r="A44" s="978"/>
      <c r="B44" s="1030"/>
      <c r="C44" s="294" t="s">
        <v>265</v>
      </c>
      <c r="D44" s="986" t="s">
        <v>342</v>
      </c>
      <c r="E44" s="988"/>
      <c r="F44" s="270"/>
      <c r="G44" s="97">
        <f t="shared" si="7"/>
        <v>32</v>
      </c>
      <c r="H44" s="97"/>
      <c r="I44" s="426">
        <f t="shared" ref="I44:M44" si="25">I45+I46+I57+I58+I64</f>
        <v>32925500</v>
      </c>
      <c r="J44" s="426">
        <f t="shared" si="25"/>
        <v>7878900</v>
      </c>
      <c r="K44" s="426">
        <f t="shared" si="25"/>
        <v>8548600</v>
      </c>
      <c r="L44" s="426">
        <f t="shared" si="25"/>
        <v>8814100</v>
      </c>
      <c r="M44" s="427">
        <f t="shared" si="25"/>
        <v>7683900</v>
      </c>
      <c r="N44" s="362">
        <f t="shared" ref="N44" si="26">N45+N46+N57+N58+N64</f>
        <v>0</v>
      </c>
      <c r="O44" s="707">
        <v>32925500</v>
      </c>
      <c r="P44" s="732">
        <f t="shared" si="4"/>
        <v>0</v>
      </c>
    </row>
    <row r="45" spans="1:16" ht="13.5" thickBot="1" x14ac:dyDescent="0.25">
      <c r="A45" s="978"/>
      <c r="B45" s="1030"/>
      <c r="C45" s="71" t="s">
        <v>27</v>
      </c>
      <c r="D45" s="973" t="s">
        <v>227</v>
      </c>
      <c r="E45" s="974"/>
      <c r="F45" s="268" t="s">
        <v>567</v>
      </c>
      <c r="G45" s="84">
        <f t="shared" si="7"/>
        <v>33</v>
      </c>
      <c r="H45" s="84"/>
      <c r="I45" s="405">
        <f t="shared" ref="I45:I63" si="27">SUM(J45:M45)</f>
        <v>2050000</v>
      </c>
      <c r="J45" s="405">
        <v>500000</v>
      </c>
      <c r="K45" s="405">
        <v>550000</v>
      </c>
      <c r="L45" s="405">
        <v>450000</v>
      </c>
      <c r="M45" s="419">
        <v>550000</v>
      </c>
      <c r="N45" s="113"/>
      <c r="O45" s="443">
        <v>2050000</v>
      </c>
      <c r="P45" s="114">
        <f t="shared" si="4"/>
        <v>0</v>
      </c>
    </row>
    <row r="46" spans="1:16" ht="13.5" thickBot="1" x14ac:dyDescent="0.25">
      <c r="A46" s="978"/>
      <c r="B46" s="1030"/>
      <c r="C46" s="71" t="s">
        <v>38</v>
      </c>
      <c r="D46" s="973" t="s">
        <v>267</v>
      </c>
      <c r="E46" s="974"/>
      <c r="F46" s="268" t="s">
        <v>568</v>
      </c>
      <c r="G46" s="84">
        <f t="shared" si="7"/>
        <v>34</v>
      </c>
      <c r="H46" s="84"/>
      <c r="I46" s="405">
        <f t="shared" si="27"/>
        <v>6097000</v>
      </c>
      <c r="J46" s="483">
        <f t="shared" ref="J46:M46" si="28">J47+J54</f>
        <v>1312000</v>
      </c>
      <c r="K46" s="483">
        <f t="shared" si="28"/>
        <v>1701000</v>
      </c>
      <c r="L46" s="483">
        <f t="shared" si="28"/>
        <v>1716500</v>
      </c>
      <c r="M46" s="483">
        <f t="shared" si="28"/>
        <v>1367500</v>
      </c>
      <c r="N46" s="113"/>
      <c r="O46" s="443">
        <v>6097000</v>
      </c>
      <c r="P46" s="114">
        <f t="shared" si="4"/>
        <v>0</v>
      </c>
    </row>
    <row r="47" spans="1:16" ht="13.5" thickBot="1" x14ac:dyDescent="0.25">
      <c r="A47" s="978"/>
      <c r="B47" s="1030"/>
      <c r="C47" s="71"/>
      <c r="D47" s="71" t="s">
        <v>76</v>
      </c>
      <c r="E47" s="71" t="s">
        <v>569</v>
      </c>
      <c r="F47" s="86">
        <v>602</v>
      </c>
      <c r="G47" s="84">
        <f t="shared" si="7"/>
        <v>35</v>
      </c>
      <c r="H47" s="84"/>
      <c r="I47" s="405">
        <f t="shared" si="27"/>
        <v>3667000</v>
      </c>
      <c r="J47" s="405">
        <f t="shared" ref="J47:M47" si="29">SUM(J48:J53)</f>
        <v>762000</v>
      </c>
      <c r="K47" s="405">
        <f t="shared" si="29"/>
        <v>1051000</v>
      </c>
      <c r="L47" s="405">
        <f t="shared" si="29"/>
        <v>1051500</v>
      </c>
      <c r="M47" s="419">
        <f t="shared" si="29"/>
        <v>802500</v>
      </c>
      <c r="N47" s="113">
        <f>SUM(N48:N53)</f>
        <v>0</v>
      </c>
      <c r="O47" s="443">
        <v>3667000</v>
      </c>
      <c r="P47" s="114">
        <f t="shared" si="4"/>
        <v>0</v>
      </c>
    </row>
    <row r="48" spans="1:16" ht="13.5" thickBot="1" x14ac:dyDescent="0.25">
      <c r="A48" s="978"/>
      <c r="B48" s="1030"/>
      <c r="C48" s="295"/>
      <c r="D48" s="295"/>
      <c r="E48" s="71" t="s">
        <v>570</v>
      </c>
      <c r="F48" s="296" t="s">
        <v>571</v>
      </c>
      <c r="G48" s="84"/>
      <c r="H48" s="84"/>
      <c r="I48" s="405">
        <f t="shared" si="27"/>
        <v>1850000</v>
      </c>
      <c r="J48" s="405">
        <v>450000</v>
      </c>
      <c r="K48" s="405">
        <v>500000</v>
      </c>
      <c r="L48" s="405">
        <v>500000</v>
      </c>
      <c r="M48" s="419">
        <v>400000</v>
      </c>
      <c r="N48" s="113"/>
      <c r="O48" s="443">
        <v>1850000</v>
      </c>
      <c r="P48" s="114">
        <f t="shared" si="4"/>
        <v>0</v>
      </c>
    </row>
    <row r="49" spans="1:16" ht="13.5" thickBot="1" x14ac:dyDescent="0.25">
      <c r="A49" s="978"/>
      <c r="B49" s="1030"/>
      <c r="C49" s="256"/>
      <c r="D49" s="256"/>
      <c r="E49" s="71" t="s">
        <v>572</v>
      </c>
      <c r="F49" s="296">
        <v>6024</v>
      </c>
      <c r="G49" s="84"/>
      <c r="H49" s="84"/>
      <c r="I49" s="405">
        <f t="shared" si="27"/>
        <v>700000</v>
      </c>
      <c r="J49" s="405">
        <v>150000</v>
      </c>
      <c r="K49" s="405">
        <v>200000</v>
      </c>
      <c r="L49" s="405">
        <v>200000</v>
      </c>
      <c r="M49" s="419">
        <v>150000</v>
      </c>
      <c r="N49" s="113"/>
      <c r="O49" s="443">
        <v>700000</v>
      </c>
      <c r="P49" s="114">
        <f t="shared" si="4"/>
        <v>0</v>
      </c>
    </row>
    <row r="50" spans="1:16" ht="13.5" thickBot="1" x14ac:dyDescent="0.25">
      <c r="A50" s="978"/>
      <c r="B50" s="1030"/>
      <c r="C50" s="256"/>
      <c r="D50" s="256"/>
      <c r="E50" s="71" t="s">
        <v>573</v>
      </c>
      <c r="F50" s="296">
        <v>6027</v>
      </c>
      <c r="G50" s="84"/>
      <c r="H50" s="84"/>
      <c r="I50" s="405">
        <f t="shared" si="27"/>
        <v>700000</v>
      </c>
      <c r="J50" s="405">
        <v>100000</v>
      </c>
      <c r="K50" s="405">
        <v>250000</v>
      </c>
      <c r="L50" s="405">
        <v>200000</v>
      </c>
      <c r="M50" s="419">
        <v>150000</v>
      </c>
      <c r="N50" s="113"/>
      <c r="O50" s="443">
        <v>700000</v>
      </c>
      <c r="P50" s="114">
        <f t="shared" si="4"/>
        <v>0</v>
      </c>
    </row>
    <row r="51" spans="1:16" ht="13.5" thickBot="1" x14ac:dyDescent="0.25">
      <c r="A51" s="978"/>
      <c r="B51" s="1030"/>
      <c r="C51" s="256"/>
      <c r="D51" s="256"/>
      <c r="E51" s="71" t="s">
        <v>574</v>
      </c>
      <c r="F51" s="296" t="s">
        <v>575</v>
      </c>
      <c r="G51" s="84"/>
      <c r="H51" s="84"/>
      <c r="I51" s="405">
        <f t="shared" si="27"/>
        <v>410000</v>
      </c>
      <c r="J51" s="405">
        <v>60000</v>
      </c>
      <c r="K51" s="405">
        <v>100000</v>
      </c>
      <c r="L51" s="405">
        <v>150000</v>
      </c>
      <c r="M51" s="419">
        <v>100000</v>
      </c>
      <c r="N51" s="113"/>
      <c r="O51" s="443">
        <v>410000</v>
      </c>
      <c r="P51" s="114">
        <f t="shared" si="4"/>
        <v>0</v>
      </c>
    </row>
    <row r="52" spans="1:16" ht="13.5" thickBot="1" x14ac:dyDescent="0.25">
      <c r="A52" s="978"/>
      <c r="B52" s="1030"/>
      <c r="C52" s="256"/>
      <c r="D52" s="256"/>
      <c r="E52" s="256" t="s">
        <v>576</v>
      </c>
      <c r="F52" s="296">
        <v>608</v>
      </c>
      <c r="G52" s="84"/>
      <c r="H52" s="84"/>
      <c r="I52" s="405">
        <f t="shared" si="27"/>
        <v>7000</v>
      </c>
      <c r="J52" s="405">
        <v>2000</v>
      </c>
      <c r="K52" s="405">
        <v>1000</v>
      </c>
      <c r="L52" s="405">
        <v>1500</v>
      </c>
      <c r="M52" s="419">
        <v>2500</v>
      </c>
      <c r="N52" s="113"/>
      <c r="O52" s="443">
        <v>7000</v>
      </c>
      <c r="P52" s="114">
        <f t="shared" si="4"/>
        <v>0</v>
      </c>
    </row>
    <row r="53" spans="1:16" ht="13.5" thickBot="1" x14ac:dyDescent="0.25">
      <c r="A53" s="978"/>
      <c r="B53" s="1030"/>
      <c r="C53" s="297"/>
      <c r="D53" s="297"/>
      <c r="E53" s="297" t="s">
        <v>577</v>
      </c>
      <c r="F53" s="296">
        <v>609</v>
      </c>
      <c r="G53" s="84"/>
      <c r="H53" s="84"/>
      <c r="I53" s="405">
        <f t="shared" si="27"/>
        <v>0</v>
      </c>
      <c r="J53" s="405"/>
      <c r="K53" s="405"/>
      <c r="L53" s="405"/>
      <c r="M53" s="419"/>
      <c r="N53" s="113"/>
      <c r="O53" s="443">
        <v>0</v>
      </c>
      <c r="P53" s="114">
        <f t="shared" si="4"/>
        <v>0</v>
      </c>
    </row>
    <row r="54" spans="1:16" ht="13.5" thickBot="1" x14ac:dyDescent="0.25">
      <c r="A54" s="978"/>
      <c r="B54" s="1030"/>
      <c r="C54" s="71"/>
      <c r="D54" s="71" t="s">
        <v>99</v>
      </c>
      <c r="E54" s="71" t="s">
        <v>269</v>
      </c>
      <c r="F54" s="86"/>
      <c r="G54" s="84">
        <f>G47+1</f>
        <v>36</v>
      </c>
      <c r="H54" s="84"/>
      <c r="I54" s="405">
        <f t="shared" si="27"/>
        <v>2430000</v>
      </c>
      <c r="J54" s="405">
        <f t="shared" ref="J54:M54" si="30">SUM(J55:J56)</f>
        <v>550000</v>
      </c>
      <c r="K54" s="405">
        <f t="shared" si="30"/>
        <v>650000</v>
      </c>
      <c r="L54" s="405">
        <f t="shared" si="30"/>
        <v>665000</v>
      </c>
      <c r="M54" s="419">
        <f t="shared" si="30"/>
        <v>565000</v>
      </c>
      <c r="N54" s="113">
        <f>SUM(N55:N56)</f>
        <v>0</v>
      </c>
      <c r="O54" s="443">
        <v>2430000</v>
      </c>
      <c r="P54" s="114">
        <f t="shared" si="4"/>
        <v>0</v>
      </c>
    </row>
    <row r="55" spans="1:16" ht="13.5" thickBot="1" x14ac:dyDescent="0.25">
      <c r="A55" s="978"/>
      <c r="B55" s="1030"/>
      <c r="C55" s="298"/>
      <c r="D55" s="299"/>
      <c r="E55" s="71" t="s">
        <v>578</v>
      </c>
      <c r="F55" s="296">
        <v>6022</v>
      </c>
      <c r="G55" s="84"/>
      <c r="H55" s="84"/>
      <c r="I55" s="405">
        <f t="shared" si="27"/>
        <v>230000</v>
      </c>
      <c r="J55" s="405">
        <v>50000</v>
      </c>
      <c r="K55" s="405">
        <v>50000</v>
      </c>
      <c r="L55" s="405">
        <v>65000</v>
      </c>
      <c r="M55" s="419">
        <v>65000</v>
      </c>
      <c r="N55" s="113"/>
      <c r="O55" s="443">
        <v>230000</v>
      </c>
      <c r="P55" s="114">
        <f t="shared" si="4"/>
        <v>0</v>
      </c>
    </row>
    <row r="56" spans="1:16" ht="13.5" thickBot="1" x14ac:dyDescent="0.25">
      <c r="A56" s="978"/>
      <c r="B56" s="1030"/>
      <c r="C56" s="298"/>
      <c r="D56" s="299"/>
      <c r="E56" s="71" t="s">
        <v>579</v>
      </c>
      <c r="F56" s="296">
        <v>604</v>
      </c>
      <c r="G56" s="84"/>
      <c r="H56" s="84"/>
      <c r="I56" s="405">
        <f t="shared" si="27"/>
        <v>2200000</v>
      </c>
      <c r="J56" s="405">
        <v>500000</v>
      </c>
      <c r="K56" s="405">
        <v>600000</v>
      </c>
      <c r="L56" s="405">
        <v>600000</v>
      </c>
      <c r="M56" s="419">
        <v>500000</v>
      </c>
      <c r="N56" s="113"/>
      <c r="O56" s="443">
        <v>2200000</v>
      </c>
      <c r="P56" s="114">
        <f t="shared" si="4"/>
        <v>0</v>
      </c>
    </row>
    <row r="57" spans="1:16" ht="13.5" customHeight="1" thickBot="1" x14ac:dyDescent="0.25">
      <c r="A57" s="978"/>
      <c r="B57" s="1030"/>
      <c r="C57" s="71" t="s">
        <v>40</v>
      </c>
      <c r="D57" s="973" t="s">
        <v>343</v>
      </c>
      <c r="E57" s="974"/>
      <c r="F57" s="268">
        <v>603</v>
      </c>
      <c r="G57" s="84">
        <f>G54+1</f>
        <v>37</v>
      </c>
      <c r="H57" s="84"/>
      <c r="I57" s="405">
        <f t="shared" si="27"/>
        <v>1550000</v>
      </c>
      <c r="J57" s="405">
        <v>350000</v>
      </c>
      <c r="K57" s="405">
        <v>350000</v>
      </c>
      <c r="L57" s="405">
        <v>400000</v>
      </c>
      <c r="M57" s="419">
        <v>450000</v>
      </c>
      <c r="N57" s="113"/>
      <c r="O57" s="443">
        <v>1550000</v>
      </c>
      <c r="P57" s="114">
        <f t="shared" si="4"/>
        <v>0</v>
      </c>
    </row>
    <row r="58" spans="1:16" ht="13.5" customHeight="1" thickBot="1" x14ac:dyDescent="0.25">
      <c r="A58" s="978"/>
      <c r="B58" s="1030"/>
      <c r="C58" s="71" t="s">
        <v>42</v>
      </c>
      <c r="D58" s="973" t="s">
        <v>271</v>
      </c>
      <c r="E58" s="974"/>
      <c r="F58" s="268">
        <v>605</v>
      </c>
      <c r="G58" s="84">
        <f t="shared" si="7"/>
        <v>38</v>
      </c>
      <c r="H58" s="84"/>
      <c r="I58" s="405">
        <f t="shared" si="27"/>
        <v>23228500</v>
      </c>
      <c r="J58" s="405">
        <f t="shared" ref="J58:M58" si="31">SUM(J59:J63)</f>
        <v>5716900</v>
      </c>
      <c r="K58" s="405">
        <f t="shared" si="31"/>
        <v>5947600</v>
      </c>
      <c r="L58" s="405">
        <f t="shared" si="31"/>
        <v>6247600</v>
      </c>
      <c r="M58" s="419">
        <f t="shared" si="31"/>
        <v>5316400</v>
      </c>
      <c r="N58" s="113">
        <f>SUM(N59:N63)</f>
        <v>0</v>
      </c>
      <c r="O58" s="443">
        <v>23228500</v>
      </c>
      <c r="P58" s="114">
        <f t="shared" si="4"/>
        <v>0</v>
      </c>
    </row>
    <row r="59" spans="1:16" ht="13.5" thickBot="1" x14ac:dyDescent="0.25">
      <c r="A59" s="978"/>
      <c r="B59" s="1030"/>
      <c r="C59" s="295"/>
      <c r="D59" s="295"/>
      <c r="E59" s="256" t="s">
        <v>580</v>
      </c>
      <c r="F59" s="296" t="s">
        <v>581</v>
      </c>
      <c r="G59" s="84"/>
      <c r="H59" s="84"/>
      <c r="I59" s="405">
        <f t="shared" si="27"/>
        <v>5100000</v>
      </c>
      <c r="J59" s="405">
        <v>1250000</v>
      </c>
      <c r="K59" s="405">
        <v>1200000</v>
      </c>
      <c r="L59" s="405">
        <v>1300000</v>
      </c>
      <c r="M59" s="419">
        <v>1350000</v>
      </c>
      <c r="N59" s="113"/>
      <c r="O59" s="443">
        <v>5100000</v>
      </c>
      <c r="P59" s="114">
        <f t="shared" si="4"/>
        <v>0</v>
      </c>
    </row>
    <row r="60" spans="1:16" ht="13.5" thickBot="1" x14ac:dyDescent="0.25">
      <c r="A60" s="978"/>
      <c r="B60" s="1030"/>
      <c r="C60" s="256"/>
      <c r="D60" s="256"/>
      <c r="E60" s="256" t="s">
        <v>582</v>
      </c>
      <c r="F60" s="296" t="s">
        <v>583</v>
      </c>
      <c r="G60" s="84"/>
      <c r="H60" s="84"/>
      <c r="I60" s="405">
        <f t="shared" si="27"/>
        <v>8322000</v>
      </c>
      <c r="J60" s="405">
        <v>1664400</v>
      </c>
      <c r="K60" s="405">
        <v>2496600</v>
      </c>
      <c r="L60" s="405">
        <v>2496600</v>
      </c>
      <c r="M60" s="419">
        <v>1664400</v>
      </c>
      <c r="N60" s="113"/>
      <c r="O60" s="443">
        <v>8322000</v>
      </c>
      <c r="P60" s="114">
        <f t="shared" si="4"/>
        <v>0</v>
      </c>
    </row>
    <row r="61" spans="1:16" ht="13.5" thickBot="1" x14ac:dyDescent="0.25">
      <c r="A61" s="978"/>
      <c r="B61" s="1030"/>
      <c r="C61" s="256"/>
      <c r="D61" s="256"/>
      <c r="E61" s="295" t="s">
        <v>584</v>
      </c>
      <c r="F61" s="296" t="s">
        <v>585</v>
      </c>
      <c r="G61" s="84"/>
      <c r="H61" s="84"/>
      <c r="I61" s="432">
        <f t="shared" si="27"/>
        <v>8800000</v>
      </c>
      <c r="J61" s="405">
        <v>2500000</v>
      </c>
      <c r="K61" s="405">
        <v>2000000</v>
      </c>
      <c r="L61" s="405">
        <v>2300000</v>
      </c>
      <c r="M61" s="419">
        <v>2000000</v>
      </c>
      <c r="N61" s="113"/>
      <c r="O61" s="708">
        <v>8800000</v>
      </c>
      <c r="P61" s="114">
        <f t="shared" si="4"/>
        <v>0</v>
      </c>
    </row>
    <row r="62" spans="1:16" ht="13.5" thickBot="1" x14ac:dyDescent="0.25">
      <c r="A62" s="978"/>
      <c r="B62" s="1030"/>
      <c r="C62" s="256"/>
      <c r="D62" s="256"/>
      <c r="E62" s="256" t="s">
        <v>586</v>
      </c>
      <c r="F62" s="296" t="s">
        <v>587</v>
      </c>
      <c r="G62" s="84"/>
      <c r="H62" s="84"/>
      <c r="I62" s="405">
        <f t="shared" si="27"/>
        <v>1000000</v>
      </c>
      <c r="J62" s="405">
        <v>300000</v>
      </c>
      <c r="K62" s="405">
        <v>250000</v>
      </c>
      <c r="L62" s="405">
        <v>150000</v>
      </c>
      <c r="M62" s="419">
        <v>300000</v>
      </c>
      <c r="N62" s="113"/>
      <c r="O62" s="443">
        <v>1000000</v>
      </c>
      <c r="P62" s="114">
        <f t="shared" si="4"/>
        <v>0</v>
      </c>
    </row>
    <row r="63" spans="1:16" ht="13.5" thickBot="1" x14ac:dyDescent="0.25">
      <c r="A63" s="978"/>
      <c r="B63" s="1030"/>
      <c r="C63" s="297"/>
      <c r="D63" s="297"/>
      <c r="E63" s="297" t="s">
        <v>588</v>
      </c>
      <c r="F63" s="296" t="s">
        <v>589</v>
      </c>
      <c r="G63" s="84"/>
      <c r="H63" s="84"/>
      <c r="I63" s="405">
        <f t="shared" si="27"/>
        <v>6500</v>
      </c>
      <c r="J63" s="405">
        <v>2500</v>
      </c>
      <c r="K63" s="405">
        <v>1000</v>
      </c>
      <c r="L63" s="405">
        <v>1000</v>
      </c>
      <c r="M63" s="419">
        <v>2000</v>
      </c>
      <c r="N63" s="113"/>
      <c r="O63" s="443">
        <v>6500</v>
      </c>
      <c r="P63" s="114">
        <f t="shared" si="4"/>
        <v>0</v>
      </c>
    </row>
    <row r="64" spans="1:16" ht="18" customHeight="1" thickBot="1" x14ac:dyDescent="0.25">
      <c r="A64" s="978"/>
      <c r="B64" s="1030"/>
      <c r="C64" s="71" t="s">
        <v>28</v>
      </c>
      <c r="D64" s="973" t="s">
        <v>272</v>
      </c>
      <c r="E64" s="974"/>
      <c r="F64" s="268"/>
      <c r="G64" s="84">
        <f>G58+1</f>
        <v>39</v>
      </c>
      <c r="H64" s="84"/>
      <c r="I64" s="405">
        <v>0</v>
      </c>
      <c r="J64" s="405">
        <v>0</v>
      </c>
      <c r="K64" s="405">
        <v>0</v>
      </c>
      <c r="L64" s="405">
        <v>0</v>
      </c>
      <c r="M64" s="419">
        <v>0</v>
      </c>
      <c r="N64" s="113"/>
      <c r="O64" s="443">
        <v>0</v>
      </c>
      <c r="P64" s="114">
        <f t="shared" si="4"/>
        <v>0</v>
      </c>
    </row>
    <row r="65" spans="1:16" ht="21.75" customHeight="1" thickBot="1" x14ac:dyDescent="0.25">
      <c r="A65" s="978"/>
      <c r="B65" s="1030"/>
      <c r="C65" s="294" t="s">
        <v>273</v>
      </c>
      <c r="D65" s="986" t="s">
        <v>465</v>
      </c>
      <c r="E65" s="988"/>
      <c r="F65" s="270"/>
      <c r="G65" s="97">
        <f t="shared" si="7"/>
        <v>40</v>
      </c>
      <c r="H65" s="97"/>
      <c r="I65" s="484">
        <f t="shared" ref="I65:M65" si="32">I66+I70+I74</f>
        <v>7850000</v>
      </c>
      <c r="J65" s="513">
        <f t="shared" si="32"/>
        <v>1560000</v>
      </c>
      <c r="K65" s="513">
        <f t="shared" si="32"/>
        <v>2190000</v>
      </c>
      <c r="L65" s="513">
        <f t="shared" si="32"/>
        <v>2150000</v>
      </c>
      <c r="M65" s="514">
        <f t="shared" si="32"/>
        <v>1950000</v>
      </c>
      <c r="N65" s="362">
        <f t="shared" ref="N65" si="33">SUM(N66:N70)+N74</f>
        <v>0</v>
      </c>
      <c r="O65" s="709">
        <v>7850000</v>
      </c>
      <c r="P65" s="114">
        <f t="shared" si="4"/>
        <v>0</v>
      </c>
    </row>
    <row r="66" spans="1:16" ht="13.5" customHeight="1" thickBot="1" x14ac:dyDescent="0.25">
      <c r="A66" s="978"/>
      <c r="B66" s="1030"/>
      <c r="C66" s="71" t="s">
        <v>27</v>
      </c>
      <c r="D66" s="973" t="s">
        <v>274</v>
      </c>
      <c r="E66" s="974"/>
      <c r="F66" s="268">
        <v>611</v>
      </c>
      <c r="G66" s="84">
        <f t="shared" si="7"/>
        <v>41</v>
      </c>
      <c r="H66" s="84"/>
      <c r="I66" s="485">
        <f t="shared" ref="I66:I74" si="34">SUM(J66:M66)</f>
        <v>6870000</v>
      </c>
      <c r="J66" s="405">
        <f t="shared" ref="J66:M66" si="35">SUM(J67:J69)</f>
        <v>1370000</v>
      </c>
      <c r="K66" s="405">
        <f t="shared" si="35"/>
        <v>1950000</v>
      </c>
      <c r="L66" s="405">
        <f t="shared" si="35"/>
        <v>1900000</v>
      </c>
      <c r="M66" s="419">
        <f t="shared" si="35"/>
        <v>1650000</v>
      </c>
      <c r="N66" s="113">
        <f>SUM(N67:N69)</f>
        <v>0</v>
      </c>
      <c r="O66" s="710">
        <v>6870000</v>
      </c>
      <c r="P66" s="114">
        <f t="shared" si="4"/>
        <v>0</v>
      </c>
    </row>
    <row r="67" spans="1:16" ht="13.5" thickBot="1" x14ac:dyDescent="0.25">
      <c r="A67" s="978"/>
      <c r="B67" s="1030"/>
      <c r="C67" s="71"/>
      <c r="D67" s="266"/>
      <c r="E67" s="267" t="s">
        <v>590</v>
      </c>
      <c r="F67" s="296" t="s">
        <v>591</v>
      </c>
      <c r="G67" s="84"/>
      <c r="H67" s="84"/>
      <c r="I67" s="405">
        <f t="shared" si="34"/>
        <v>4300000</v>
      </c>
      <c r="J67" s="405">
        <v>800000</v>
      </c>
      <c r="K67" s="405">
        <v>1300000</v>
      </c>
      <c r="L67" s="405">
        <v>1200000</v>
      </c>
      <c r="M67" s="419">
        <v>1000000</v>
      </c>
      <c r="N67" s="113"/>
      <c r="O67" s="443">
        <v>4300000</v>
      </c>
      <c r="P67" s="114">
        <f t="shared" si="4"/>
        <v>0</v>
      </c>
    </row>
    <row r="68" spans="1:16" ht="13.5" thickBot="1" x14ac:dyDescent="0.25">
      <c r="A68" s="978"/>
      <c r="B68" s="1030"/>
      <c r="C68" s="71"/>
      <c r="D68" s="266"/>
      <c r="E68" s="267" t="s">
        <v>592</v>
      </c>
      <c r="F68" s="296">
        <v>611.01</v>
      </c>
      <c r="G68" s="84"/>
      <c r="H68" s="84"/>
      <c r="I68" s="405">
        <f t="shared" si="34"/>
        <v>2200000</v>
      </c>
      <c r="J68" s="405">
        <v>500000</v>
      </c>
      <c r="K68" s="405">
        <v>550000</v>
      </c>
      <c r="L68" s="405">
        <v>600000</v>
      </c>
      <c r="M68" s="419">
        <v>550000</v>
      </c>
      <c r="N68" s="113"/>
      <c r="O68" s="443">
        <v>2200000</v>
      </c>
      <c r="P68" s="114">
        <f t="shared" si="4"/>
        <v>0</v>
      </c>
    </row>
    <row r="69" spans="1:16" ht="13.5" thickBot="1" x14ac:dyDescent="0.25">
      <c r="A69" s="978"/>
      <c r="B69" s="1030"/>
      <c r="C69" s="71"/>
      <c r="D69" s="266"/>
      <c r="E69" s="267" t="s">
        <v>593</v>
      </c>
      <c r="F69" s="296" t="s">
        <v>594</v>
      </c>
      <c r="G69" s="84"/>
      <c r="H69" s="84"/>
      <c r="I69" s="405">
        <f t="shared" si="34"/>
        <v>370000</v>
      </c>
      <c r="J69" s="405">
        <v>70000</v>
      </c>
      <c r="K69" s="405">
        <v>100000</v>
      </c>
      <c r="L69" s="405">
        <v>100000</v>
      </c>
      <c r="M69" s="419">
        <v>100000</v>
      </c>
      <c r="N69" s="113"/>
      <c r="O69" s="443">
        <v>370000</v>
      </c>
      <c r="P69" s="114">
        <f t="shared" si="4"/>
        <v>0</v>
      </c>
    </row>
    <row r="70" spans="1:16" ht="13.5" customHeight="1" thickBot="1" x14ac:dyDescent="0.25">
      <c r="A70" s="979"/>
      <c r="B70" s="1031"/>
      <c r="C70" s="71" t="s">
        <v>38</v>
      </c>
      <c r="D70" s="973" t="s">
        <v>275</v>
      </c>
      <c r="E70" s="974"/>
      <c r="F70" s="268">
        <v>612</v>
      </c>
      <c r="G70" s="84">
        <f>G66+1</f>
        <v>42</v>
      </c>
      <c r="H70" s="84"/>
      <c r="I70" s="485">
        <f t="shared" si="34"/>
        <v>680000</v>
      </c>
      <c r="J70" s="405">
        <f t="shared" ref="J70:M70" si="36">J71+J73</f>
        <v>120000</v>
      </c>
      <c r="K70" s="405">
        <f t="shared" si="36"/>
        <v>170000</v>
      </c>
      <c r="L70" s="405">
        <f t="shared" si="36"/>
        <v>170000</v>
      </c>
      <c r="M70" s="419">
        <f t="shared" si="36"/>
        <v>220000</v>
      </c>
      <c r="N70" s="113">
        <f>N71+N73</f>
        <v>0</v>
      </c>
      <c r="O70" s="710">
        <v>680000</v>
      </c>
      <c r="P70" s="114">
        <f t="shared" si="4"/>
        <v>0</v>
      </c>
    </row>
    <row r="71" spans="1:16" ht="13.5" thickBot="1" x14ac:dyDescent="0.25">
      <c r="A71" s="977"/>
      <c r="B71" s="1018"/>
      <c r="C71" s="71"/>
      <c r="D71" s="71" t="s">
        <v>76</v>
      </c>
      <c r="E71" s="71" t="s">
        <v>157</v>
      </c>
      <c r="F71" s="86"/>
      <c r="G71" s="84">
        <f t="shared" si="7"/>
        <v>43</v>
      </c>
      <c r="H71" s="84"/>
      <c r="I71" s="405">
        <f t="shared" si="34"/>
        <v>80000</v>
      </c>
      <c r="J71" s="405">
        <f>J72</f>
        <v>20000</v>
      </c>
      <c r="K71" s="405">
        <f>K72</f>
        <v>20000</v>
      </c>
      <c r="L71" s="405">
        <f>L72</f>
        <v>20000</v>
      </c>
      <c r="M71" s="405">
        <f>M72</f>
        <v>20000</v>
      </c>
      <c r="N71" s="113"/>
      <c r="O71" s="443">
        <v>80000</v>
      </c>
      <c r="P71" s="114">
        <f t="shared" si="4"/>
        <v>0</v>
      </c>
    </row>
    <row r="72" spans="1:16" ht="13.5" thickBot="1" x14ac:dyDescent="0.25">
      <c r="A72" s="978"/>
      <c r="B72" s="1019"/>
      <c r="C72" s="71"/>
      <c r="D72" s="71"/>
      <c r="E72" s="86" t="s">
        <v>595</v>
      </c>
      <c r="F72" s="286" t="s">
        <v>596</v>
      </c>
      <c r="G72" s="84"/>
      <c r="H72" s="84"/>
      <c r="I72" s="405">
        <f t="shared" si="34"/>
        <v>80000</v>
      </c>
      <c r="J72" s="405">
        <v>20000</v>
      </c>
      <c r="K72" s="405">
        <v>20000</v>
      </c>
      <c r="L72" s="405">
        <v>20000</v>
      </c>
      <c r="M72" s="405">
        <v>20000</v>
      </c>
      <c r="N72" s="113"/>
      <c r="O72" s="443">
        <v>80000</v>
      </c>
      <c r="P72" s="114">
        <f t="shared" si="4"/>
        <v>0</v>
      </c>
    </row>
    <row r="73" spans="1:16" ht="13.5" thickBot="1" x14ac:dyDescent="0.25">
      <c r="A73" s="978"/>
      <c r="B73" s="1019"/>
      <c r="C73" s="71"/>
      <c r="D73" s="71" t="s">
        <v>99</v>
      </c>
      <c r="E73" s="71" t="s">
        <v>158</v>
      </c>
      <c r="F73" s="86">
        <v>612</v>
      </c>
      <c r="G73" s="84">
        <f>G71+1</f>
        <v>44</v>
      </c>
      <c r="H73" s="84"/>
      <c r="I73" s="405">
        <f t="shared" si="34"/>
        <v>600000</v>
      </c>
      <c r="J73" s="405">
        <v>100000</v>
      </c>
      <c r="K73" s="405">
        <v>150000</v>
      </c>
      <c r="L73" s="405">
        <v>150000</v>
      </c>
      <c r="M73" s="419">
        <v>200000</v>
      </c>
      <c r="N73" s="113"/>
      <c r="O73" s="443">
        <v>600000</v>
      </c>
      <c r="P73" s="114">
        <f t="shared" si="4"/>
        <v>0</v>
      </c>
    </row>
    <row r="74" spans="1:16" ht="13.5" customHeight="1" thickBot="1" x14ac:dyDescent="0.25">
      <c r="A74" s="978"/>
      <c r="B74" s="1019"/>
      <c r="C74" s="71" t="s">
        <v>40</v>
      </c>
      <c r="D74" s="973" t="s">
        <v>159</v>
      </c>
      <c r="E74" s="974"/>
      <c r="F74" s="301" t="s">
        <v>597</v>
      </c>
      <c r="G74" s="84">
        <f t="shared" si="7"/>
        <v>45</v>
      </c>
      <c r="H74" s="84"/>
      <c r="I74" s="485">
        <f t="shared" si="34"/>
        <v>300000</v>
      </c>
      <c r="J74" s="405">
        <v>70000</v>
      </c>
      <c r="K74" s="405">
        <v>70000</v>
      </c>
      <c r="L74" s="405">
        <v>80000</v>
      </c>
      <c r="M74" s="419">
        <v>80000</v>
      </c>
      <c r="N74" s="113"/>
      <c r="O74" s="710">
        <v>300000</v>
      </c>
      <c r="P74" s="114">
        <f t="shared" si="4"/>
        <v>0</v>
      </c>
    </row>
    <row r="75" spans="1:16" ht="22.5" customHeight="1" thickBot="1" x14ac:dyDescent="0.25">
      <c r="A75" s="978"/>
      <c r="B75" s="1019"/>
      <c r="C75" s="294" t="s">
        <v>160</v>
      </c>
      <c r="D75" s="986" t="s">
        <v>466</v>
      </c>
      <c r="E75" s="988"/>
      <c r="F75" s="270"/>
      <c r="G75" s="97">
        <f t="shared" si="7"/>
        <v>46</v>
      </c>
      <c r="H75" s="97"/>
      <c r="I75" s="426">
        <f t="shared" ref="I75:M75" si="37">I76+I77+I79+I86+I91+I95+I99+I100+I101+I110</f>
        <v>7333000</v>
      </c>
      <c r="J75" s="426">
        <f t="shared" si="37"/>
        <v>1447000</v>
      </c>
      <c r="K75" s="426">
        <f t="shared" si="37"/>
        <v>1645000</v>
      </c>
      <c r="L75" s="426">
        <f t="shared" si="37"/>
        <v>2065000</v>
      </c>
      <c r="M75" s="427">
        <f t="shared" si="37"/>
        <v>2176000</v>
      </c>
      <c r="N75" s="362">
        <f t="shared" ref="N75" si="38">N76+N77+N79+N86+N91+N95+N99+N100+N101+N110</f>
        <v>0</v>
      </c>
      <c r="O75" s="707">
        <v>7018000</v>
      </c>
      <c r="P75" s="732">
        <f t="shared" ref="P75:P138" si="39">I75-O75</f>
        <v>315000</v>
      </c>
    </row>
    <row r="76" spans="1:16" ht="13.5" customHeight="1" thickBot="1" x14ac:dyDescent="0.25">
      <c r="A76" s="978"/>
      <c r="B76" s="1019"/>
      <c r="C76" s="71" t="s">
        <v>27</v>
      </c>
      <c r="D76" s="1021" t="s">
        <v>161</v>
      </c>
      <c r="E76" s="1022"/>
      <c r="F76" s="302">
        <v>621</v>
      </c>
      <c r="G76" s="84">
        <f t="shared" si="7"/>
        <v>47</v>
      </c>
      <c r="H76" s="84"/>
      <c r="I76" s="432">
        <f>SUM(J76:M76)</f>
        <v>12000</v>
      </c>
      <c r="J76" s="430">
        <v>3000</v>
      </c>
      <c r="K76" s="430">
        <v>3000</v>
      </c>
      <c r="L76" s="430">
        <v>3000</v>
      </c>
      <c r="M76" s="430">
        <v>3000</v>
      </c>
      <c r="N76" s="363"/>
      <c r="O76" s="708">
        <v>12000</v>
      </c>
      <c r="P76" s="114">
        <f t="shared" si="39"/>
        <v>0</v>
      </c>
    </row>
    <row r="77" spans="1:16" ht="13.5" customHeight="1" thickBot="1" x14ac:dyDescent="0.25">
      <c r="A77" s="978"/>
      <c r="B77" s="1019"/>
      <c r="C77" s="71" t="s">
        <v>38</v>
      </c>
      <c r="D77" s="1021" t="s">
        <v>162</v>
      </c>
      <c r="E77" s="1022"/>
      <c r="F77" s="302">
        <v>622</v>
      </c>
      <c r="G77" s="84">
        <f t="shared" ref="G77:G140" si="40">G76+1</f>
        <v>48</v>
      </c>
      <c r="H77" s="84"/>
      <c r="I77" s="432">
        <f>SUM(J77:M77)</f>
        <v>28000</v>
      </c>
      <c r="J77" s="430">
        <v>7000</v>
      </c>
      <c r="K77" s="430">
        <v>7000</v>
      </c>
      <c r="L77" s="430">
        <v>7000</v>
      </c>
      <c r="M77" s="430">
        <v>7000</v>
      </c>
      <c r="N77" s="363"/>
      <c r="O77" s="708">
        <v>28000</v>
      </c>
      <c r="P77" s="114">
        <f t="shared" si="39"/>
        <v>0</v>
      </c>
    </row>
    <row r="78" spans="1:16" ht="13.5" customHeight="1" thickBot="1" x14ac:dyDescent="0.25">
      <c r="A78" s="978"/>
      <c r="B78" s="1019"/>
      <c r="C78" s="71"/>
      <c r="D78" s="1021" t="s">
        <v>381</v>
      </c>
      <c r="E78" s="1022"/>
      <c r="F78" s="302"/>
      <c r="G78" s="84">
        <f t="shared" si="40"/>
        <v>49</v>
      </c>
      <c r="H78" s="84"/>
      <c r="I78" s="432">
        <f>SUM(J78:M78)</f>
        <v>8000</v>
      </c>
      <c r="J78" s="430">
        <v>2000</v>
      </c>
      <c r="K78" s="430">
        <v>2000</v>
      </c>
      <c r="L78" s="430">
        <v>2000</v>
      </c>
      <c r="M78" s="430">
        <v>2000</v>
      </c>
      <c r="N78" s="363"/>
      <c r="O78" s="708">
        <v>8000</v>
      </c>
      <c r="P78" s="114">
        <f t="shared" si="39"/>
        <v>0</v>
      </c>
    </row>
    <row r="79" spans="1:16" ht="13.5" customHeight="1" thickBot="1" x14ac:dyDescent="0.25">
      <c r="A79" s="978"/>
      <c r="B79" s="1019"/>
      <c r="C79" s="71" t="s">
        <v>40</v>
      </c>
      <c r="D79" s="973" t="s">
        <v>432</v>
      </c>
      <c r="E79" s="974"/>
      <c r="F79" s="268"/>
      <c r="G79" s="84">
        <f t="shared" si="40"/>
        <v>50</v>
      </c>
      <c r="H79" s="84"/>
      <c r="I79" s="432">
        <f t="shared" ref="I79:M79" si="41">I80+I82</f>
        <v>465000</v>
      </c>
      <c r="J79" s="405">
        <f t="shared" si="41"/>
        <v>80000</v>
      </c>
      <c r="K79" s="405">
        <f t="shared" si="41"/>
        <v>100000</v>
      </c>
      <c r="L79" s="405">
        <f t="shared" si="41"/>
        <v>105000</v>
      </c>
      <c r="M79" s="419">
        <f t="shared" si="41"/>
        <v>180000</v>
      </c>
      <c r="N79" s="113">
        <f t="shared" ref="N79" si="42">N80+N82</f>
        <v>0</v>
      </c>
      <c r="O79" s="708">
        <v>465000</v>
      </c>
      <c r="P79" s="114">
        <f t="shared" si="39"/>
        <v>0</v>
      </c>
    </row>
    <row r="80" spans="1:16" ht="13.5" thickBot="1" x14ac:dyDescent="0.25">
      <c r="A80" s="978"/>
      <c r="B80" s="1019"/>
      <c r="C80" s="71"/>
      <c r="D80" s="71" t="s">
        <v>278</v>
      </c>
      <c r="E80" s="71" t="s">
        <v>163</v>
      </c>
      <c r="F80" s="86" t="s">
        <v>598</v>
      </c>
      <c r="G80" s="84">
        <f t="shared" si="40"/>
        <v>51</v>
      </c>
      <c r="H80" s="84"/>
      <c r="I80" s="432">
        <f>SUM(J80:M80)</f>
        <v>155000</v>
      </c>
      <c r="J80" s="405">
        <v>30000</v>
      </c>
      <c r="K80" s="405">
        <v>40000</v>
      </c>
      <c r="L80" s="405">
        <v>35000</v>
      </c>
      <c r="M80" s="419">
        <v>50000</v>
      </c>
      <c r="N80" s="113"/>
      <c r="O80" s="708">
        <v>155000</v>
      </c>
      <c r="P80" s="114">
        <f t="shared" si="39"/>
        <v>0</v>
      </c>
    </row>
    <row r="81" spans="1:16" ht="23.25" thickBot="1" x14ac:dyDescent="0.25">
      <c r="A81" s="978"/>
      <c r="B81" s="1019"/>
      <c r="C81" s="71"/>
      <c r="D81" s="71"/>
      <c r="E81" s="71" t="s">
        <v>164</v>
      </c>
      <c r="F81" s="86"/>
      <c r="G81" s="84">
        <f t="shared" si="40"/>
        <v>52</v>
      </c>
      <c r="H81" s="84"/>
      <c r="I81" s="405">
        <f>SUM(J81:M81)</f>
        <v>0</v>
      </c>
      <c r="J81" s="405"/>
      <c r="K81" s="405"/>
      <c r="L81" s="405"/>
      <c r="M81" s="419"/>
      <c r="N81" s="113"/>
      <c r="O81" s="443">
        <v>0</v>
      </c>
      <c r="P81" s="114">
        <f t="shared" si="39"/>
        <v>0</v>
      </c>
    </row>
    <row r="82" spans="1:16" ht="13.5" thickBot="1" x14ac:dyDescent="0.25">
      <c r="A82" s="978"/>
      <c r="B82" s="1019"/>
      <c r="C82" s="71"/>
      <c r="D82" s="71" t="s">
        <v>165</v>
      </c>
      <c r="E82" s="71" t="s">
        <v>166</v>
      </c>
      <c r="F82" s="86" t="s">
        <v>599</v>
      </c>
      <c r="G82" s="84">
        <f t="shared" si="40"/>
        <v>53</v>
      </c>
      <c r="H82" s="84"/>
      <c r="I82" s="405">
        <f>SUM(J82:M82)</f>
        <v>310000</v>
      </c>
      <c r="J82" s="405">
        <v>50000</v>
      </c>
      <c r="K82" s="405">
        <v>60000</v>
      </c>
      <c r="L82" s="405">
        <v>70000</v>
      </c>
      <c r="M82" s="419">
        <v>130000</v>
      </c>
      <c r="N82" s="113"/>
      <c r="O82" s="443">
        <v>310000</v>
      </c>
      <c r="P82" s="114">
        <f t="shared" si="39"/>
        <v>0</v>
      </c>
    </row>
    <row r="83" spans="1:16" ht="23.25" thickBot="1" x14ac:dyDescent="0.25">
      <c r="A83" s="978"/>
      <c r="B83" s="1019"/>
      <c r="C83" s="71"/>
      <c r="D83" s="71"/>
      <c r="E83" s="71" t="s">
        <v>167</v>
      </c>
      <c r="F83" s="86" t="s">
        <v>22</v>
      </c>
      <c r="G83" s="84">
        <f t="shared" si="40"/>
        <v>54</v>
      </c>
      <c r="H83" s="84"/>
      <c r="I83" s="405">
        <f>SUM(J83:M83)</f>
        <v>0</v>
      </c>
      <c r="J83" s="405"/>
      <c r="K83" s="405"/>
      <c r="L83" s="405"/>
      <c r="M83" s="419"/>
      <c r="N83" s="113"/>
      <c r="O83" s="443">
        <v>0</v>
      </c>
      <c r="P83" s="114">
        <f t="shared" si="39"/>
        <v>0</v>
      </c>
    </row>
    <row r="84" spans="1:16" ht="34.5" thickBot="1" x14ac:dyDescent="0.25">
      <c r="A84" s="978"/>
      <c r="B84" s="1019"/>
      <c r="C84" s="71"/>
      <c r="D84" s="71"/>
      <c r="E84" s="71" t="s">
        <v>168</v>
      </c>
      <c r="F84" s="86" t="s">
        <v>22</v>
      </c>
      <c r="G84" s="84">
        <f t="shared" si="40"/>
        <v>55</v>
      </c>
      <c r="H84" s="84"/>
      <c r="I84" s="405">
        <f>SUM(J84:M84)</f>
        <v>0</v>
      </c>
      <c r="J84" s="405"/>
      <c r="K84" s="405"/>
      <c r="L84" s="405"/>
      <c r="M84" s="419"/>
      <c r="N84" s="113"/>
      <c r="O84" s="443">
        <v>0</v>
      </c>
      <c r="P84" s="114">
        <f t="shared" si="39"/>
        <v>0</v>
      </c>
    </row>
    <row r="85" spans="1:16" ht="13.5" thickBot="1" x14ac:dyDescent="0.25">
      <c r="A85" s="978"/>
      <c r="B85" s="1019"/>
      <c r="C85" s="71"/>
      <c r="D85" s="71"/>
      <c r="E85" s="71" t="s">
        <v>169</v>
      </c>
      <c r="F85" s="86" t="s">
        <v>22</v>
      </c>
      <c r="G85" s="84">
        <f t="shared" si="40"/>
        <v>56</v>
      </c>
      <c r="H85" s="84"/>
      <c r="I85" s="432"/>
      <c r="J85" s="405"/>
      <c r="K85" s="405"/>
      <c r="L85" s="405"/>
      <c r="M85" s="419"/>
      <c r="N85" s="113"/>
      <c r="O85" s="708"/>
      <c r="P85" s="114">
        <f t="shared" si="39"/>
        <v>0</v>
      </c>
    </row>
    <row r="86" spans="1:16" ht="13.5" customHeight="1" thickBot="1" x14ac:dyDescent="0.25">
      <c r="A86" s="978"/>
      <c r="B86" s="1019"/>
      <c r="C86" s="71" t="s">
        <v>42</v>
      </c>
      <c r="D86" s="973" t="s">
        <v>433</v>
      </c>
      <c r="E86" s="974"/>
      <c r="F86" s="268">
        <v>6582</v>
      </c>
      <c r="G86" s="84">
        <f t="shared" si="40"/>
        <v>57</v>
      </c>
      <c r="H86" s="486"/>
      <c r="I86" s="487">
        <f t="shared" ref="I86:I95" si="43">SUM(J86:M86)</f>
        <v>375000</v>
      </c>
      <c r="J86" s="487">
        <f t="shared" ref="J86:M86" si="44">J87+J88+J89+J90</f>
        <v>85000</v>
      </c>
      <c r="K86" s="487">
        <f t="shared" si="44"/>
        <v>93000</v>
      </c>
      <c r="L86" s="487">
        <f t="shared" si="44"/>
        <v>103000</v>
      </c>
      <c r="M86" s="488">
        <f t="shared" si="44"/>
        <v>94000</v>
      </c>
      <c r="N86" s="113">
        <f>N87+N88+N89+N90</f>
        <v>0</v>
      </c>
      <c r="O86" s="711">
        <v>375000</v>
      </c>
      <c r="P86" s="114">
        <f t="shared" si="39"/>
        <v>0</v>
      </c>
    </row>
    <row r="87" spans="1:16" ht="13.5" thickBot="1" x14ac:dyDescent="0.25">
      <c r="A87" s="978"/>
      <c r="B87" s="1019"/>
      <c r="C87" s="71"/>
      <c r="D87" s="102" t="s">
        <v>170</v>
      </c>
      <c r="E87" s="102" t="s">
        <v>236</v>
      </c>
      <c r="F87" s="290" t="s">
        <v>600</v>
      </c>
      <c r="G87" s="84">
        <f t="shared" si="40"/>
        <v>58</v>
      </c>
      <c r="H87" s="84"/>
      <c r="I87" s="432">
        <f t="shared" si="43"/>
        <v>200000</v>
      </c>
      <c r="J87" s="430">
        <v>50000</v>
      </c>
      <c r="K87" s="430">
        <v>50000</v>
      </c>
      <c r="L87" s="430">
        <v>50000</v>
      </c>
      <c r="M87" s="430">
        <v>50000</v>
      </c>
      <c r="N87" s="363"/>
      <c r="O87" s="708">
        <v>200000</v>
      </c>
      <c r="P87" s="114">
        <f t="shared" si="39"/>
        <v>0</v>
      </c>
    </row>
    <row r="88" spans="1:16" ht="13.5" thickBot="1" x14ac:dyDescent="0.25">
      <c r="A88" s="978"/>
      <c r="B88" s="1019"/>
      <c r="C88" s="71"/>
      <c r="D88" s="102" t="s">
        <v>171</v>
      </c>
      <c r="E88" s="102" t="s">
        <v>382</v>
      </c>
      <c r="F88" s="290" t="s">
        <v>601</v>
      </c>
      <c r="G88" s="84">
        <f t="shared" si="40"/>
        <v>59</v>
      </c>
      <c r="H88" s="84"/>
      <c r="I88" s="432">
        <f t="shared" si="43"/>
        <v>25000</v>
      </c>
      <c r="J88" s="430">
        <v>5000</v>
      </c>
      <c r="K88" s="430">
        <v>8000</v>
      </c>
      <c r="L88" s="430">
        <v>5000</v>
      </c>
      <c r="M88" s="431">
        <v>7000</v>
      </c>
      <c r="N88" s="363"/>
      <c r="O88" s="708">
        <v>25000</v>
      </c>
      <c r="P88" s="114">
        <f t="shared" si="39"/>
        <v>0</v>
      </c>
    </row>
    <row r="89" spans="1:16" ht="13.5" thickBot="1" x14ac:dyDescent="0.25">
      <c r="A89" s="978"/>
      <c r="B89" s="1019"/>
      <c r="C89" s="71"/>
      <c r="D89" s="102" t="s">
        <v>172</v>
      </c>
      <c r="E89" s="102" t="s">
        <v>383</v>
      </c>
      <c r="F89" s="290" t="s">
        <v>602</v>
      </c>
      <c r="G89" s="84">
        <f t="shared" si="40"/>
        <v>60</v>
      </c>
      <c r="H89" s="84"/>
      <c r="I89" s="432">
        <f t="shared" si="43"/>
        <v>25000</v>
      </c>
      <c r="J89" s="430">
        <v>5000</v>
      </c>
      <c r="K89" s="430">
        <v>5000</v>
      </c>
      <c r="L89" s="430">
        <v>8000</v>
      </c>
      <c r="M89" s="431">
        <v>7000</v>
      </c>
      <c r="N89" s="363"/>
      <c r="O89" s="708">
        <v>25000</v>
      </c>
      <c r="P89" s="114">
        <f t="shared" si="39"/>
        <v>0</v>
      </c>
    </row>
    <row r="90" spans="1:16" ht="13.5" thickBot="1" x14ac:dyDescent="0.25">
      <c r="A90" s="978"/>
      <c r="B90" s="1019"/>
      <c r="C90" s="71"/>
      <c r="D90" s="102" t="s">
        <v>173</v>
      </c>
      <c r="E90" s="102" t="s">
        <v>384</v>
      </c>
      <c r="F90" s="290" t="s">
        <v>603</v>
      </c>
      <c r="G90" s="84">
        <f t="shared" si="40"/>
        <v>61</v>
      </c>
      <c r="H90" s="84"/>
      <c r="I90" s="432">
        <f t="shared" si="43"/>
        <v>125000</v>
      </c>
      <c r="J90" s="430">
        <v>25000</v>
      </c>
      <c r="K90" s="430">
        <v>30000</v>
      </c>
      <c r="L90" s="430">
        <v>40000</v>
      </c>
      <c r="M90" s="431">
        <v>30000</v>
      </c>
      <c r="N90" s="363"/>
      <c r="O90" s="708">
        <v>125000</v>
      </c>
      <c r="P90" s="114">
        <f t="shared" si="39"/>
        <v>0</v>
      </c>
    </row>
    <row r="91" spans="1:16" ht="13.5" customHeight="1" thickBot="1" x14ac:dyDescent="0.25">
      <c r="A91" s="978"/>
      <c r="B91" s="1019"/>
      <c r="C91" s="71" t="s">
        <v>28</v>
      </c>
      <c r="D91" s="973" t="s">
        <v>174</v>
      </c>
      <c r="E91" s="974"/>
      <c r="F91" s="268">
        <v>624</v>
      </c>
      <c r="G91" s="84">
        <f t="shared" si="40"/>
        <v>62</v>
      </c>
      <c r="H91" s="84"/>
      <c r="I91" s="432">
        <f t="shared" si="43"/>
        <v>900000</v>
      </c>
      <c r="J91" s="430">
        <v>200000</v>
      </c>
      <c r="K91" s="430">
        <v>200000</v>
      </c>
      <c r="L91" s="430">
        <v>250000</v>
      </c>
      <c r="M91" s="431">
        <v>250000</v>
      </c>
      <c r="N91" s="363">
        <f>SUM(N92:N94)</f>
        <v>0</v>
      </c>
      <c r="O91" s="708">
        <v>900000</v>
      </c>
      <c r="P91" s="114">
        <f t="shared" si="39"/>
        <v>0</v>
      </c>
    </row>
    <row r="92" spans="1:16" ht="13.5" customHeight="1" thickBot="1" x14ac:dyDescent="0.25">
      <c r="A92" s="978"/>
      <c r="B92" s="1019"/>
      <c r="C92" s="71"/>
      <c r="D92" s="973" t="s">
        <v>604</v>
      </c>
      <c r="E92" s="974"/>
      <c r="F92" s="303" t="s">
        <v>605</v>
      </c>
      <c r="G92" s="84"/>
      <c r="H92" s="84"/>
      <c r="I92" s="432">
        <f t="shared" si="43"/>
        <v>150000</v>
      </c>
      <c r="J92" s="430">
        <v>30000</v>
      </c>
      <c r="K92" s="430">
        <v>30000</v>
      </c>
      <c r="L92" s="430">
        <v>50000</v>
      </c>
      <c r="M92" s="431">
        <v>40000</v>
      </c>
      <c r="N92" s="363"/>
      <c r="O92" s="708">
        <v>150000</v>
      </c>
      <c r="P92" s="114">
        <f t="shared" si="39"/>
        <v>0</v>
      </c>
    </row>
    <row r="93" spans="1:16" ht="23.25" customHeight="1" thickBot="1" x14ac:dyDescent="0.25">
      <c r="A93" s="978"/>
      <c r="B93" s="1019"/>
      <c r="C93" s="71"/>
      <c r="D93" s="973" t="s">
        <v>606</v>
      </c>
      <c r="E93" s="974"/>
      <c r="F93" s="303" t="s">
        <v>607</v>
      </c>
      <c r="G93" s="84"/>
      <c r="H93" s="84"/>
      <c r="I93" s="432">
        <f t="shared" si="43"/>
        <v>480000</v>
      </c>
      <c r="J93" s="430">
        <v>120000</v>
      </c>
      <c r="K93" s="430">
        <v>120000</v>
      </c>
      <c r="L93" s="430">
        <v>120000</v>
      </c>
      <c r="M93" s="430">
        <v>120000</v>
      </c>
      <c r="N93" s="363"/>
      <c r="O93" s="708">
        <v>480000</v>
      </c>
      <c r="P93" s="114">
        <f t="shared" si="39"/>
        <v>0</v>
      </c>
    </row>
    <row r="94" spans="1:16" ht="13.5" customHeight="1" thickBot="1" x14ac:dyDescent="0.25">
      <c r="A94" s="978"/>
      <c r="B94" s="1019"/>
      <c r="C94" s="71"/>
      <c r="D94" s="973" t="s">
        <v>608</v>
      </c>
      <c r="E94" s="974"/>
      <c r="F94" s="303">
        <v>624</v>
      </c>
      <c r="G94" s="84"/>
      <c r="H94" s="84"/>
      <c r="I94" s="432">
        <f t="shared" si="43"/>
        <v>0</v>
      </c>
      <c r="J94" s="430"/>
      <c r="K94" s="430"/>
      <c r="L94" s="430"/>
      <c r="M94" s="431"/>
      <c r="N94" s="363"/>
      <c r="O94" s="708">
        <v>0</v>
      </c>
      <c r="P94" s="114">
        <f t="shared" si="39"/>
        <v>0</v>
      </c>
    </row>
    <row r="95" spans="1:16" ht="13.5" customHeight="1" thickBot="1" x14ac:dyDescent="0.25">
      <c r="A95" s="978"/>
      <c r="B95" s="1019"/>
      <c r="C95" s="71" t="s">
        <v>34</v>
      </c>
      <c r="D95" s="973" t="s">
        <v>175</v>
      </c>
      <c r="E95" s="974"/>
      <c r="F95" s="268">
        <v>625</v>
      </c>
      <c r="G95" s="84">
        <f>G91+1</f>
        <v>63</v>
      </c>
      <c r="H95" s="84"/>
      <c r="I95" s="432">
        <f t="shared" si="43"/>
        <v>260000</v>
      </c>
      <c r="J95" s="405">
        <v>50000</v>
      </c>
      <c r="K95" s="405">
        <v>65000</v>
      </c>
      <c r="L95" s="405">
        <v>80000</v>
      </c>
      <c r="M95" s="419">
        <v>65000</v>
      </c>
      <c r="N95" s="113"/>
      <c r="O95" s="708">
        <v>260000</v>
      </c>
      <c r="P95" s="114">
        <f t="shared" si="39"/>
        <v>0</v>
      </c>
    </row>
    <row r="96" spans="1:16" ht="13.5" customHeight="1" thickBot="1" x14ac:dyDescent="0.25">
      <c r="A96" s="978"/>
      <c r="B96" s="1019"/>
      <c r="C96" s="71"/>
      <c r="D96" s="973" t="s">
        <v>467</v>
      </c>
      <c r="E96" s="974"/>
      <c r="F96" s="268">
        <v>625</v>
      </c>
      <c r="G96" s="84">
        <f t="shared" si="40"/>
        <v>64</v>
      </c>
      <c r="H96" s="84"/>
      <c r="I96" s="432">
        <f t="shared" ref="I96:M96" si="45">I97+I98</f>
        <v>120000</v>
      </c>
      <c r="J96" s="405">
        <f t="shared" si="45"/>
        <v>25000</v>
      </c>
      <c r="K96" s="405">
        <f t="shared" si="45"/>
        <v>35000</v>
      </c>
      <c r="L96" s="405">
        <f t="shared" si="45"/>
        <v>30000</v>
      </c>
      <c r="M96" s="419">
        <f t="shared" si="45"/>
        <v>30000</v>
      </c>
      <c r="N96" s="113">
        <f t="shared" ref="N96" si="46">N97+N98</f>
        <v>0</v>
      </c>
      <c r="O96" s="708">
        <v>120000</v>
      </c>
      <c r="P96" s="114">
        <f t="shared" si="39"/>
        <v>0</v>
      </c>
    </row>
    <row r="97" spans="1:16" ht="13.5" thickBot="1" x14ac:dyDescent="0.25">
      <c r="A97" s="978"/>
      <c r="B97" s="1019"/>
      <c r="C97" s="71"/>
      <c r="D97" s="1021" t="s">
        <v>385</v>
      </c>
      <c r="E97" s="1022"/>
      <c r="F97" s="302" t="s">
        <v>609</v>
      </c>
      <c r="G97" s="84">
        <f t="shared" si="40"/>
        <v>65</v>
      </c>
      <c r="H97" s="84"/>
      <c r="I97" s="430">
        <f t="shared" ref="I97:I114" si="47">SUM(J97:M97)</f>
        <v>65000</v>
      </c>
      <c r="J97" s="430">
        <v>15000</v>
      </c>
      <c r="K97" s="430">
        <v>15000</v>
      </c>
      <c r="L97" s="430">
        <v>20000</v>
      </c>
      <c r="M97" s="431">
        <v>15000</v>
      </c>
      <c r="N97" s="363"/>
      <c r="O97" s="712">
        <v>65000</v>
      </c>
      <c r="P97" s="114">
        <f t="shared" si="39"/>
        <v>0</v>
      </c>
    </row>
    <row r="98" spans="1:16" ht="13.5" thickBot="1" x14ac:dyDescent="0.25">
      <c r="A98" s="978"/>
      <c r="B98" s="1019"/>
      <c r="C98" s="71"/>
      <c r="D98" s="1021" t="s">
        <v>386</v>
      </c>
      <c r="E98" s="1022"/>
      <c r="F98" s="302" t="s">
        <v>610</v>
      </c>
      <c r="G98" s="84">
        <f t="shared" si="40"/>
        <v>66</v>
      </c>
      <c r="H98" s="84"/>
      <c r="I98" s="432">
        <f t="shared" si="47"/>
        <v>55000</v>
      </c>
      <c r="J98" s="430">
        <v>10000</v>
      </c>
      <c r="K98" s="430">
        <v>20000</v>
      </c>
      <c r="L98" s="430">
        <v>10000</v>
      </c>
      <c r="M98" s="431">
        <v>15000</v>
      </c>
      <c r="N98" s="363"/>
      <c r="O98" s="708">
        <v>55000</v>
      </c>
      <c r="P98" s="114">
        <f t="shared" si="39"/>
        <v>0</v>
      </c>
    </row>
    <row r="99" spans="1:16" ht="13.5" customHeight="1" thickBot="1" x14ac:dyDescent="0.25">
      <c r="A99" s="978"/>
      <c r="B99" s="1019"/>
      <c r="C99" s="71" t="s">
        <v>35</v>
      </c>
      <c r="D99" s="973" t="s">
        <v>177</v>
      </c>
      <c r="E99" s="974"/>
      <c r="F99" s="268">
        <v>626</v>
      </c>
      <c r="G99" s="84">
        <f t="shared" si="40"/>
        <v>67</v>
      </c>
      <c r="H99" s="84"/>
      <c r="I99" s="432">
        <f t="shared" si="47"/>
        <v>270000</v>
      </c>
      <c r="J99" s="405">
        <v>65000</v>
      </c>
      <c r="K99" s="405">
        <v>65000</v>
      </c>
      <c r="L99" s="419">
        <v>70000</v>
      </c>
      <c r="M99" s="419">
        <v>70000</v>
      </c>
      <c r="N99" s="113"/>
      <c r="O99" s="708">
        <v>270000</v>
      </c>
      <c r="P99" s="114">
        <f t="shared" si="39"/>
        <v>0</v>
      </c>
    </row>
    <row r="100" spans="1:16" ht="13.5" customHeight="1" thickBot="1" x14ac:dyDescent="0.25">
      <c r="A100" s="978"/>
      <c r="B100" s="1019"/>
      <c r="C100" s="71" t="s">
        <v>178</v>
      </c>
      <c r="D100" s="973" t="s">
        <v>179</v>
      </c>
      <c r="E100" s="974"/>
      <c r="F100" s="268">
        <v>627</v>
      </c>
      <c r="G100" s="84">
        <f t="shared" si="40"/>
        <v>68</v>
      </c>
      <c r="H100" s="84"/>
      <c r="I100" s="432">
        <f t="shared" si="47"/>
        <v>280000</v>
      </c>
      <c r="J100" s="405">
        <v>60000</v>
      </c>
      <c r="K100" s="405">
        <v>70000</v>
      </c>
      <c r="L100" s="405">
        <v>70000</v>
      </c>
      <c r="M100" s="419">
        <v>80000</v>
      </c>
      <c r="N100" s="113"/>
      <c r="O100" s="708">
        <v>280000</v>
      </c>
      <c r="P100" s="114">
        <f t="shared" si="39"/>
        <v>0</v>
      </c>
    </row>
    <row r="101" spans="1:16" ht="23.25" customHeight="1" thickBot="1" x14ac:dyDescent="0.25">
      <c r="A101" s="978"/>
      <c r="B101" s="1019"/>
      <c r="C101" s="71" t="s">
        <v>180</v>
      </c>
      <c r="D101" s="973" t="s">
        <v>181</v>
      </c>
      <c r="E101" s="974"/>
      <c r="F101" s="268" t="s">
        <v>611</v>
      </c>
      <c r="G101" s="84">
        <f t="shared" si="40"/>
        <v>69</v>
      </c>
      <c r="H101" s="84"/>
      <c r="I101" s="432">
        <f t="shared" si="47"/>
        <v>1603000</v>
      </c>
      <c r="J101" s="405">
        <f t="shared" ref="J101:M101" si="48">SUM(J102:J109)-J106</f>
        <v>327000</v>
      </c>
      <c r="K101" s="405">
        <f t="shared" si="48"/>
        <v>362000</v>
      </c>
      <c r="L101" s="405">
        <f t="shared" si="48"/>
        <v>432000</v>
      </c>
      <c r="M101" s="419">
        <f t="shared" si="48"/>
        <v>482000</v>
      </c>
      <c r="N101" s="113">
        <f>SUM(N102:N109)-N106</f>
        <v>0</v>
      </c>
      <c r="O101" s="708">
        <v>1603000</v>
      </c>
      <c r="P101" s="114">
        <f t="shared" si="39"/>
        <v>0</v>
      </c>
    </row>
    <row r="102" spans="1:16" ht="13.5" thickBot="1" x14ac:dyDescent="0.25">
      <c r="A102" s="978"/>
      <c r="B102" s="1019"/>
      <c r="C102" s="71"/>
      <c r="D102" s="71" t="s">
        <v>56</v>
      </c>
      <c r="E102" s="71" t="s">
        <v>182</v>
      </c>
      <c r="F102" s="86" t="s">
        <v>612</v>
      </c>
      <c r="G102" s="84">
        <f t="shared" si="40"/>
        <v>70</v>
      </c>
      <c r="H102" s="84"/>
      <c r="I102" s="485">
        <f t="shared" si="47"/>
        <v>910000</v>
      </c>
      <c r="J102" s="405">
        <v>225000</v>
      </c>
      <c r="K102" s="405">
        <v>225000</v>
      </c>
      <c r="L102" s="405">
        <v>230000</v>
      </c>
      <c r="M102" s="419">
        <v>230000</v>
      </c>
      <c r="N102" s="113"/>
      <c r="O102" s="710">
        <v>910000</v>
      </c>
      <c r="P102" s="114">
        <f t="shared" si="39"/>
        <v>0</v>
      </c>
    </row>
    <row r="103" spans="1:16" ht="23.25" thickBot="1" x14ac:dyDescent="0.25">
      <c r="A103" s="978"/>
      <c r="B103" s="1019"/>
      <c r="C103" s="71"/>
      <c r="D103" s="71" t="s">
        <v>57</v>
      </c>
      <c r="E103" s="71" t="s">
        <v>229</v>
      </c>
      <c r="F103" s="86" t="s">
        <v>613</v>
      </c>
      <c r="G103" s="84">
        <f t="shared" si="40"/>
        <v>71</v>
      </c>
      <c r="H103" s="84"/>
      <c r="I103" s="432">
        <f t="shared" si="47"/>
        <v>375000</v>
      </c>
      <c r="J103" s="405">
        <v>50000</v>
      </c>
      <c r="K103" s="405">
        <v>75000</v>
      </c>
      <c r="L103" s="405">
        <v>100000</v>
      </c>
      <c r="M103" s="419">
        <v>150000</v>
      </c>
      <c r="N103" s="113"/>
      <c r="O103" s="708">
        <v>375000</v>
      </c>
      <c r="P103" s="114">
        <f t="shared" si="39"/>
        <v>0</v>
      </c>
    </row>
    <row r="104" spans="1:16" ht="13.5" thickBot="1" x14ac:dyDescent="0.25">
      <c r="A104" s="978"/>
      <c r="B104" s="1019"/>
      <c r="C104" s="71"/>
      <c r="D104" s="71" t="s">
        <v>58</v>
      </c>
      <c r="E104" s="71" t="s">
        <v>183</v>
      </c>
      <c r="F104" s="86">
        <v>614</v>
      </c>
      <c r="G104" s="84">
        <f t="shared" si="40"/>
        <v>72</v>
      </c>
      <c r="H104" s="486"/>
      <c r="I104" s="487">
        <f t="shared" si="47"/>
        <v>310000</v>
      </c>
      <c r="J104" s="487">
        <v>50000</v>
      </c>
      <c r="K104" s="487">
        <v>60000</v>
      </c>
      <c r="L104" s="487">
        <v>100000</v>
      </c>
      <c r="M104" s="488">
        <v>100000</v>
      </c>
      <c r="N104" s="113"/>
      <c r="O104" s="711">
        <v>310000</v>
      </c>
      <c r="P104" s="114">
        <f t="shared" si="39"/>
        <v>0</v>
      </c>
    </row>
    <row r="105" spans="1:16" ht="23.25" thickBot="1" x14ac:dyDescent="0.25">
      <c r="A105" s="978"/>
      <c r="B105" s="1019"/>
      <c r="C105" s="71"/>
      <c r="D105" s="71" t="s">
        <v>59</v>
      </c>
      <c r="E105" s="71" t="s">
        <v>184</v>
      </c>
      <c r="F105" s="86" t="s">
        <v>614</v>
      </c>
      <c r="G105" s="84">
        <f t="shared" si="40"/>
        <v>73</v>
      </c>
      <c r="H105" s="84"/>
      <c r="I105" s="432">
        <f t="shared" si="47"/>
        <v>0</v>
      </c>
      <c r="J105" s="405"/>
      <c r="K105" s="405"/>
      <c r="L105" s="405"/>
      <c r="M105" s="419"/>
      <c r="N105" s="113"/>
      <c r="O105" s="708">
        <v>0</v>
      </c>
      <c r="P105" s="114">
        <f t="shared" si="39"/>
        <v>0</v>
      </c>
    </row>
    <row r="106" spans="1:16" ht="13.5" thickBot="1" x14ac:dyDescent="0.25">
      <c r="A106" s="978"/>
      <c r="B106" s="1019"/>
      <c r="C106" s="71"/>
      <c r="D106" s="71"/>
      <c r="E106" s="71" t="s">
        <v>387</v>
      </c>
      <c r="F106" s="86"/>
      <c r="G106" s="84">
        <f t="shared" si="40"/>
        <v>74</v>
      </c>
      <c r="H106" s="476"/>
      <c r="I106" s="432">
        <f t="shared" si="47"/>
        <v>0</v>
      </c>
      <c r="J106" s="405">
        <v>0</v>
      </c>
      <c r="K106" s="405">
        <v>0</v>
      </c>
      <c r="L106" s="405">
        <v>0</v>
      </c>
      <c r="M106" s="419">
        <v>0</v>
      </c>
      <c r="N106" s="113"/>
      <c r="O106" s="708">
        <v>0</v>
      </c>
      <c r="P106" s="114">
        <f t="shared" si="39"/>
        <v>0</v>
      </c>
    </row>
    <row r="107" spans="1:16" ht="13.5" thickBot="1" x14ac:dyDescent="0.25">
      <c r="A107" s="978"/>
      <c r="B107" s="1019"/>
      <c r="C107" s="71"/>
      <c r="D107" s="71" t="s">
        <v>60</v>
      </c>
      <c r="E107" s="71" t="s">
        <v>545</v>
      </c>
      <c r="F107" s="86" t="s">
        <v>615</v>
      </c>
      <c r="G107" s="84">
        <f t="shared" si="40"/>
        <v>75</v>
      </c>
      <c r="H107" s="84"/>
      <c r="I107" s="432">
        <f t="shared" si="47"/>
        <v>0</v>
      </c>
      <c r="J107" s="405"/>
      <c r="K107" s="405"/>
      <c r="L107" s="405"/>
      <c r="M107" s="419"/>
      <c r="N107" s="113"/>
      <c r="O107" s="708">
        <v>0</v>
      </c>
      <c r="P107" s="114">
        <f t="shared" si="39"/>
        <v>0</v>
      </c>
    </row>
    <row r="108" spans="1:16" ht="34.5" thickBot="1" x14ac:dyDescent="0.25">
      <c r="A108" s="978"/>
      <c r="B108" s="1019"/>
      <c r="C108" s="71"/>
      <c r="D108" s="71" t="s">
        <v>61</v>
      </c>
      <c r="E108" s="71" t="s">
        <v>185</v>
      </c>
      <c r="F108" s="86" t="s">
        <v>22</v>
      </c>
      <c r="G108" s="84">
        <f t="shared" si="40"/>
        <v>76</v>
      </c>
      <c r="H108" s="476"/>
      <c r="I108" s="432">
        <f t="shared" si="47"/>
        <v>0</v>
      </c>
      <c r="J108" s="432">
        <v>0</v>
      </c>
      <c r="K108" s="405">
        <v>0</v>
      </c>
      <c r="L108" s="405">
        <v>0</v>
      </c>
      <c r="M108" s="419">
        <v>0</v>
      </c>
      <c r="N108" s="113"/>
      <c r="O108" s="708">
        <v>0</v>
      </c>
      <c r="P108" s="114">
        <f t="shared" si="39"/>
        <v>0</v>
      </c>
    </row>
    <row r="109" spans="1:16" ht="13.5" thickBot="1" x14ac:dyDescent="0.25">
      <c r="A109" s="978"/>
      <c r="B109" s="1019"/>
      <c r="C109" s="71"/>
      <c r="D109" s="71" t="s">
        <v>62</v>
      </c>
      <c r="E109" s="71" t="s">
        <v>186</v>
      </c>
      <c r="F109" s="86" t="s">
        <v>616</v>
      </c>
      <c r="G109" s="84">
        <f t="shared" si="40"/>
        <v>77</v>
      </c>
      <c r="H109" s="84"/>
      <c r="I109" s="432">
        <f t="shared" si="47"/>
        <v>8000</v>
      </c>
      <c r="J109" s="405">
        <v>2000</v>
      </c>
      <c r="K109" s="405">
        <v>2000</v>
      </c>
      <c r="L109" s="405">
        <v>2000</v>
      </c>
      <c r="M109" s="405">
        <v>2000</v>
      </c>
      <c r="N109" s="113"/>
      <c r="O109" s="708">
        <v>8000</v>
      </c>
      <c r="P109" s="114">
        <f t="shared" si="39"/>
        <v>0</v>
      </c>
    </row>
    <row r="110" spans="1:16" ht="13.5" customHeight="1" thickBot="1" x14ac:dyDescent="0.25">
      <c r="A110" s="978"/>
      <c r="B110" s="1019"/>
      <c r="C110" s="71" t="s">
        <v>344</v>
      </c>
      <c r="D110" s="973" t="s">
        <v>149</v>
      </c>
      <c r="E110" s="974"/>
      <c r="F110" s="268">
        <f>SUM(F111:F114)</f>
        <v>0</v>
      </c>
      <c r="G110" s="84">
        <f t="shared" si="40"/>
        <v>78</v>
      </c>
      <c r="H110" s="84"/>
      <c r="I110" s="432">
        <f t="shared" si="47"/>
        <v>3140000</v>
      </c>
      <c r="J110" s="405">
        <f t="shared" ref="J110:M110" si="49">SUM(J111:J114)</f>
        <v>570000</v>
      </c>
      <c r="K110" s="405">
        <f t="shared" si="49"/>
        <v>680000</v>
      </c>
      <c r="L110" s="405">
        <f t="shared" si="49"/>
        <v>945000</v>
      </c>
      <c r="M110" s="419">
        <f t="shared" si="49"/>
        <v>945000</v>
      </c>
      <c r="N110" s="113">
        <f>SUM(N111:N114)</f>
        <v>0</v>
      </c>
      <c r="O110" s="708">
        <v>2825000</v>
      </c>
      <c r="P110" s="732">
        <f t="shared" si="39"/>
        <v>315000</v>
      </c>
    </row>
    <row r="111" spans="1:16" ht="13.5" thickBot="1" x14ac:dyDescent="0.25">
      <c r="A111" s="978"/>
      <c r="B111" s="1019"/>
      <c r="C111" s="266"/>
      <c r="D111" s="304"/>
      <c r="E111" s="267" t="s">
        <v>617</v>
      </c>
      <c r="F111" s="296" t="s">
        <v>618</v>
      </c>
      <c r="G111" s="84"/>
      <c r="H111" s="84"/>
      <c r="I111" s="432">
        <f t="shared" si="47"/>
        <v>170000</v>
      </c>
      <c r="J111" s="405">
        <v>40000</v>
      </c>
      <c r="K111" s="405">
        <v>40000</v>
      </c>
      <c r="L111" s="405">
        <v>45000</v>
      </c>
      <c r="M111" s="419">
        <v>45000</v>
      </c>
      <c r="N111" s="113"/>
      <c r="O111" s="708">
        <v>170000</v>
      </c>
      <c r="P111" s="114">
        <f t="shared" si="39"/>
        <v>0</v>
      </c>
    </row>
    <row r="112" spans="1:16" ht="13.5" thickBot="1" x14ac:dyDescent="0.25">
      <c r="A112" s="978"/>
      <c r="B112" s="1019"/>
      <c r="C112" s="266"/>
      <c r="D112" s="304"/>
      <c r="E112" s="267" t="s">
        <v>619</v>
      </c>
      <c r="F112" s="296" t="s">
        <v>620</v>
      </c>
      <c r="G112" s="84"/>
      <c r="H112" s="84"/>
      <c r="I112" s="432">
        <f t="shared" si="47"/>
        <v>80000</v>
      </c>
      <c r="J112" s="405">
        <v>15000</v>
      </c>
      <c r="K112" s="405">
        <v>20000</v>
      </c>
      <c r="L112" s="405">
        <v>25000</v>
      </c>
      <c r="M112" s="419">
        <v>20000</v>
      </c>
      <c r="N112" s="113"/>
      <c r="O112" s="708">
        <v>80000</v>
      </c>
      <c r="P112" s="114">
        <f t="shared" si="39"/>
        <v>0</v>
      </c>
    </row>
    <row r="113" spans="1:16" ht="13.5" thickBot="1" x14ac:dyDescent="0.25">
      <c r="A113" s="978"/>
      <c r="B113" s="1019"/>
      <c r="C113" s="266"/>
      <c r="D113" s="304"/>
      <c r="E113" s="267" t="s">
        <v>621</v>
      </c>
      <c r="F113" s="305" t="s">
        <v>622</v>
      </c>
      <c r="G113" s="84"/>
      <c r="H113" s="84"/>
      <c r="I113" s="432">
        <f t="shared" si="47"/>
        <v>75000</v>
      </c>
      <c r="J113" s="405">
        <v>15000</v>
      </c>
      <c r="K113" s="405">
        <v>20000</v>
      </c>
      <c r="L113" s="405">
        <v>15000</v>
      </c>
      <c r="M113" s="419">
        <v>25000</v>
      </c>
      <c r="N113" s="113"/>
      <c r="O113" s="708">
        <v>75000</v>
      </c>
      <c r="P113" s="114">
        <f t="shared" si="39"/>
        <v>0</v>
      </c>
    </row>
    <row r="114" spans="1:16" ht="13.5" thickBot="1" x14ac:dyDescent="0.25">
      <c r="A114" s="978"/>
      <c r="B114" s="1019"/>
      <c r="C114" s="266"/>
      <c r="D114" s="726"/>
      <c r="E114" s="727" t="s">
        <v>623</v>
      </c>
      <c r="F114" s="728" t="s">
        <v>624</v>
      </c>
      <c r="G114" s="729"/>
      <c r="H114" s="729"/>
      <c r="I114" s="724">
        <f t="shared" si="47"/>
        <v>2815000</v>
      </c>
      <c r="J114" s="724">
        <v>500000</v>
      </c>
      <c r="K114" s="724">
        <v>600000</v>
      </c>
      <c r="L114" s="724">
        <f>700000+160000</f>
        <v>860000</v>
      </c>
      <c r="M114" s="725">
        <f>700000+155000</f>
        <v>855000</v>
      </c>
      <c r="N114" s="730"/>
      <c r="O114" s="731">
        <v>2500000</v>
      </c>
      <c r="P114" s="732">
        <f t="shared" si="39"/>
        <v>315000</v>
      </c>
    </row>
    <row r="115" spans="1:16" ht="36.75" customHeight="1" thickBot="1" x14ac:dyDescent="0.25">
      <c r="A115" s="978"/>
      <c r="B115" s="1019"/>
      <c r="C115" s="1026" t="s">
        <v>468</v>
      </c>
      <c r="D115" s="1027"/>
      <c r="E115" s="1028"/>
      <c r="F115" s="269"/>
      <c r="G115" s="97">
        <f>G110+1</f>
        <v>79</v>
      </c>
      <c r="H115" s="97"/>
      <c r="I115" s="424">
        <f t="shared" ref="I115:M115" si="50">I116+I117+I118+I119+I120+I121</f>
        <v>12906000</v>
      </c>
      <c r="J115" s="424">
        <f t="shared" si="50"/>
        <v>1876000</v>
      </c>
      <c r="K115" s="424">
        <f t="shared" si="50"/>
        <v>1884000</v>
      </c>
      <c r="L115" s="424">
        <f t="shared" si="50"/>
        <v>4559000</v>
      </c>
      <c r="M115" s="425">
        <f t="shared" si="50"/>
        <v>4587000</v>
      </c>
      <c r="N115" s="361">
        <f t="shared" ref="N115" si="51">N116+N117+N118+N119+N120+N121</f>
        <v>0</v>
      </c>
      <c r="O115" s="706">
        <v>7706000</v>
      </c>
      <c r="P115" s="114">
        <f t="shared" si="39"/>
        <v>5200000</v>
      </c>
    </row>
    <row r="116" spans="1:16" ht="13.5" customHeight="1" thickBot="1" x14ac:dyDescent="0.25">
      <c r="A116" s="978"/>
      <c r="B116" s="1019"/>
      <c r="C116" s="71" t="s">
        <v>27</v>
      </c>
      <c r="D116" s="973" t="s">
        <v>188</v>
      </c>
      <c r="E116" s="974"/>
      <c r="F116" s="268" t="s">
        <v>22</v>
      </c>
      <c r="G116" s="84">
        <f t="shared" si="40"/>
        <v>80</v>
      </c>
      <c r="H116" s="84"/>
      <c r="I116" s="405">
        <f t="shared" ref="I116:I130" si="52">SUM(J116:M116)</f>
        <v>0</v>
      </c>
      <c r="J116" s="405"/>
      <c r="K116" s="405"/>
      <c r="L116" s="405"/>
      <c r="M116" s="419"/>
      <c r="N116" s="113"/>
      <c r="O116" s="443">
        <v>0</v>
      </c>
      <c r="P116" s="114">
        <f t="shared" si="39"/>
        <v>0</v>
      </c>
    </row>
    <row r="117" spans="1:16" ht="23.25" customHeight="1" thickBot="1" x14ac:dyDescent="0.25">
      <c r="A117" s="978"/>
      <c r="B117" s="1019"/>
      <c r="C117" s="71" t="s">
        <v>38</v>
      </c>
      <c r="D117" s="1045" t="s">
        <v>388</v>
      </c>
      <c r="E117" s="1046"/>
      <c r="F117" s="733" t="s">
        <v>625</v>
      </c>
      <c r="G117" s="729">
        <f t="shared" si="40"/>
        <v>81</v>
      </c>
      <c r="H117" s="729"/>
      <c r="I117" s="724">
        <f t="shared" si="52"/>
        <v>10000000</v>
      </c>
      <c r="J117" s="724">
        <v>1200000</v>
      </c>
      <c r="K117" s="724">
        <v>1200000</v>
      </c>
      <c r="L117" s="724">
        <f>1200000+2600000</f>
        <v>3800000</v>
      </c>
      <c r="M117" s="724">
        <f>1200000+2600000</f>
        <v>3800000</v>
      </c>
      <c r="N117" s="730"/>
      <c r="O117" s="731">
        <v>4800000</v>
      </c>
      <c r="P117" s="732">
        <f t="shared" si="39"/>
        <v>5200000</v>
      </c>
    </row>
    <row r="118" spans="1:16" ht="13.5" customHeight="1" thickBot="1" x14ac:dyDescent="0.25">
      <c r="A118" s="978"/>
      <c r="B118" s="1019"/>
      <c r="C118" s="71" t="s">
        <v>40</v>
      </c>
      <c r="D118" s="973" t="s">
        <v>41</v>
      </c>
      <c r="E118" s="974"/>
      <c r="F118" s="268" t="s">
        <v>626</v>
      </c>
      <c r="G118" s="84">
        <f t="shared" si="40"/>
        <v>82</v>
      </c>
      <c r="H118" s="84"/>
      <c r="I118" s="405">
        <f t="shared" si="52"/>
        <v>40000</v>
      </c>
      <c r="J118" s="405">
        <v>10000</v>
      </c>
      <c r="K118" s="405">
        <v>10000</v>
      </c>
      <c r="L118" s="405">
        <v>10000</v>
      </c>
      <c r="M118" s="419">
        <v>10000</v>
      </c>
      <c r="N118" s="113"/>
      <c r="O118" s="443">
        <v>40000</v>
      </c>
      <c r="P118" s="114">
        <f t="shared" si="39"/>
        <v>0</v>
      </c>
    </row>
    <row r="119" spans="1:16" ht="23.25" customHeight="1" thickBot="1" x14ac:dyDescent="0.25">
      <c r="A119" s="979"/>
      <c r="B119" s="1020"/>
      <c r="C119" s="71" t="s">
        <v>42</v>
      </c>
      <c r="D119" s="973" t="s">
        <v>43</v>
      </c>
      <c r="E119" s="974"/>
      <c r="F119" s="268" t="s">
        <v>627</v>
      </c>
      <c r="G119" s="84">
        <f t="shared" si="40"/>
        <v>83</v>
      </c>
      <c r="H119" s="84"/>
      <c r="I119" s="405">
        <f t="shared" si="52"/>
        <v>13000</v>
      </c>
      <c r="J119" s="405">
        <v>2000</v>
      </c>
      <c r="K119" s="405">
        <v>3000</v>
      </c>
      <c r="L119" s="405">
        <v>3000</v>
      </c>
      <c r="M119" s="419">
        <v>5000</v>
      </c>
      <c r="N119" s="113"/>
      <c r="O119" s="443">
        <v>13000</v>
      </c>
      <c r="P119" s="114">
        <f t="shared" si="39"/>
        <v>0</v>
      </c>
    </row>
    <row r="120" spans="1:16" ht="13.5" customHeight="1" thickBot="1" x14ac:dyDescent="0.25">
      <c r="A120" s="977"/>
      <c r="B120" s="1018"/>
      <c r="C120" s="71" t="s">
        <v>28</v>
      </c>
      <c r="D120" s="973" t="s">
        <v>44</v>
      </c>
      <c r="E120" s="974"/>
      <c r="F120" s="268" t="s">
        <v>628</v>
      </c>
      <c r="G120" s="84">
        <f t="shared" si="40"/>
        <v>84</v>
      </c>
      <c r="H120" s="84"/>
      <c r="I120" s="405">
        <f t="shared" si="52"/>
        <v>6000</v>
      </c>
      <c r="J120" s="405">
        <v>2000</v>
      </c>
      <c r="K120" s="405">
        <v>1000</v>
      </c>
      <c r="L120" s="405">
        <v>1000</v>
      </c>
      <c r="M120" s="419">
        <v>2000</v>
      </c>
      <c r="N120" s="113"/>
      <c r="O120" s="443">
        <v>6000</v>
      </c>
      <c r="P120" s="114">
        <f t="shared" si="39"/>
        <v>0</v>
      </c>
    </row>
    <row r="121" spans="1:16" ht="13.5" thickBot="1" x14ac:dyDescent="0.25">
      <c r="A121" s="978"/>
      <c r="B121" s="1019"/>
      <c r="C121" s="71" t="s">
        <v>34</v>
      </c>
      <c r="D121" s="1029" t="s">
        <v>45</v>
      </c>
      <c r="E121" s="1032"/>
      <c r="F121" s="268" t="s">
        <v>629</v>
      </c>
      <c r="G121" s="84">
        <f t="shared" si="40"/>
        <v>85</v>
      </c>
      <c r="H121" s="84"/>
      <c r="I121" s="405">
        <f t="shared" si="52"/>
        <v>2847000</v>
      </c>
      <c r="J121" s="405">
        <f t="shared" ref="J121:M121" si="53">SUM(J122:J130)</f>
        <v>662000</v>
      </c>
      <c r="K121" s="405">
        <f t="shared" si="53"/>
        <v>670000</v>
      </c>
      <c r="L121" s="405">
        <f t="shared" si="53"/>
        <v>745000</v>
      </c>
      <c r="M121" s="419">
        <f t="shared" si="53"/>
        <v>770000</v>
      </c>
      <c r="N121" s="113">
        <f>SUM(N122:N130)</f>
        <v>0</v>
      </c>
      <c r="O121" s="443">
        <v>2847000</v>
      </c>
      <c r="P121" s="114">
        <f t="shared" si="39"/>
        <v>0</v>
      </c>
    </row>
    <row r="122" spans="1:16" ht="13.5" thickBot="1" x14ac:dyDescent="0.25">
      <c r="A122" s="978"/>
      <c r="B122" s="1019"/>
      <c r="C122" s="266"/>
      <c r="D122" s="266"/>
      <c r="E122" s="267" t="s">
        <v>630</v>
      </c>
      <c r="F122" s="296" t="s">
        <v>631</v>
      </c>
      <c r="G122" s="84"/>
      <c r="H122" s="84"/>
      <c r="I122" s="405">
        <f t="shared" si="52"/>
        <v>145000</v>
      </c>
      <c r="J122" s="405">
        <v>30000</v>
      </c>
      <c r="K122" s="405">
        <v>40000</v>
      </c>
      <c r="L122" s="405">
        <v>40000</v>
      </c>
      <c r="M122" s="419">
        <v>35000</v>
      </c>
      <c r="N122" s="113"/>
      <c r="O122" s="443">
        <v>145000</v>
      </c>
      <c r="P122" s="114">
        <f t="shared" si="39"/>
        <v>0</v>
      </c>
    </row>
    <row r="123" spans="1:16" ht="13.5" thickBot="1" x14ac:dyDescent="0.25">
      <c r="A123" s="978"/>
      <c r="B123" s="1019"/>
      <c r="C123" s="266"/>
      <c r="D123" s="266"/>
      <c r="E123" s="267" t="s">
        <v>632</v>
      </c>
      <c r="F123" s="296" t="s">
        <v>633</v>
      </c>
      <c r="G123" s="84"/>
      <c r="H123" s="84"/>
      <c r="I123" s="405">
        <f t="shared" si="52"/>
        <v>90000</v>
      </c>
      <c r="J123" s="405">
        <v>20000</v>
      </c>
      <c r="K123" s="405">
        <v>20000</v>
      </c>
      <c r="L123" s="405">
        <v>25000</v>
      </c>
      <c r="M123" s="419">
        <v>25000</v>
      </c>
      <c r="N123" s="113"/>
      <c r="O123" s="443">
        <v>90000</v>
      </c>
      <c r="P123" s="114">
        <f t="shared" si="39"/>
        <v>0</v>
      </c>
    </row>
    <row r="124" spans="1:16" ht="13.5" thickBot="1" x14ac:dyDescent="0.25">
      <c r="A124" s="978"/>
      <c r="B124" s="1019"/>
      <c r="C124" s="266"/>
      <c r="D124" s="266"/>
      <c r="E124" s="267" t="s">
        <v>634</v>
      </c>
      <c r="F124" s="296" t="s">
        <v>635</v>
      </c>
      <c r="G124" s="84"/>
      <c r="H124" s="84"/>
      <c r="I124" s="405">
        <f t="shared" si="52"/>
        <v>120000</v>
      </c>
      <c r="J124" s="405">
        <v>30000</v>
      </c>
      <c r="K124" s="405">
        <v>30000</v>
      </c>
      <c r="L124" s="405">
        <v>30000</v>
      </c>
      <c r="M124" s="419">
        <v>30000</v>
      </c>
      <c r="N124" s="113"/>
      <c r="O124" s="443">
        <v>120000</v>
      </c>
      <c r="P124" s="114">
        <f t="shared" si="39"/>
        <v>0</v>
      </c>
    </row>
    <row r="125" spans="1:16" ht="13.5" thickBot="1" x14ac:dyDescent="0.25">
      <c r="A125" s="978"/>
      <c r="B125" s="1019"/>
      <c r="C125" s="266"/>
      <c r="D125" s="266"/>
      <c r="E125" s="267" t="s">
        <v>636</v>
      </c>
      <c r="F125" s="296" t="s">
        <v>637</v>
      </c>
      <c r="G125" s="84"/>
      <c r="H125" s="84"/>
      <c r="I125" s="405">
        <f t="shared" si="52"/>
        <v>1300000</v>
      </c>
      <c r="J125" s="405">
        <v>300000</v>
      </c>
      <c r="K125" s="405">
        <v>300000</v>
      </c>
      <c r="L125" s="405">
        <v>350000</v>
      </c>
      <c r="M125" s="419">
        <v>350000</v>
      </c>
      <c r="N125" s="113"/>
      <c r="O125" s="443">
        <v>1300000</v>
      </c>
      <c r="P125" s="114">
        <f t="shared" si="39"/>
        <v>0</v>
      </c>
    </row>
    <row r="126" spans="1:16" ht="13.5" thickBot="1" x14ac:dyDescent="0.25">
      <c r="A126" s="978"/>
      <c r="B126" s="1019"/>
      <c r="C126" s="266"/>
      <c r="D126" s="266"/>
      <c r="E126" s="267" t="s">
        <v>638</v>
      </c>
      <c r="F126" s="296" t="s">
        <v>639</v>
      </c>
      <c r="G126" s="84"/>
      <c r="H126" s="84"/>
      <c r="I126" s="405">
        <f t="shared" si="52"/>
        <v>200000</v>
      </c>
      <c r="J126" s="405">
        <v>50000</v>
      </c>
      <c r="K126" s="405">
        <v>50000</v>
      </c>
      <c r="L126" s="405">
        <v>50000</v>
      </c>
      <c r="M126" s="419">
        <v>50000</v>
      </c>
      <c r="N126" s="113"/>
      <c r="O126" s="443">
        <v>200000</v>
      </c>
      <c r="P126" s="114">
        <f t="shared" si="39"/>
        <v>0</v>
      </c>
    </row>
    <row r="127" spans="1:16" ht="13.5" thickBot="1" x14ac:dyDescent="0.25">
      <c r="A127" s="978"/>
      <c r="B127" s="1019"/>
      <c r="C127" s="266"/>
      <c r="D127" s="266"/>
      <c r="E127" s="267" t="s">
        <v>640</v>
      </c>
      <c r="F127" s="296" t="s">
        <v>641</v>
      </c>
      <c r="G127" s="84"/>
      <c r="H127" s="84"/>
      <c r="I127" s="405">
        <f t="shared" si="52"/>
        <v>2000</v>
      </c>
      <c r="J127" s="405">
        <v>2000</v>
      </c>
      <c r="K127" s="405"/>
      <c r="L127" s="405"/>
      <c r="M127" s="419"/>
      <c r="N127" s="113"/>
      <c r="O127" s="443">
        <v>2000</v>
      </c>
      <c r="P127" s="114">
        <f t="shared" si="39"/>
        <v>0</v>
      </c>
    </row>
    <row r="128" spans="1:16" ht="13.5" thickBot="1" x14ac:dyDescent="0.25">
      <c r="A128" s="978"/>
      <c r="B128" s="1019"/>
      <c r="C128" s="266"/>
      <c r="D128" s="266"/>
      <c r="E128" s="267" t="s">
        <v>642</v>
      </c>
      <c r="F128" s="296" t="s">
        <v>643</v>
      </c>
      <c r="G128" s="84"/>
      <c r="H128" s="84"/>
      <c r="I128" s="405">
        <f t="shared" si="52"/>
        <v>345000</v>
      </c>
      <c r="J128" s="405">
        <v>80000</v>
      </c>
      <c r="K128" s="405">
        <v>80000</v>
      </c>
      <c r="L128" s="405">
        <v>85000</v>
      </c>
      <c r="M128" s="419">
        <v>100000</v>
      </c>
      <c r="N128" s="113"/>
      <c r="O128" s="443">
        <v>345000</v>
      </c>
      <c r="P128" s="114">
        <f t="shared" si="39"/>
        <v>0</v>
      </c>
    </row>
    <row r="129" spans="1:16" ht="13.5" thickBot="1" x14ac:dyDescent="0.25">
      <c r="A129" s="978"/>
      <c r="B129" s="1019"/>
      <c r="C129" s="266"/>
      <c r="D129" s="266"/>
      <c r="E129" s="267" t="s">
        <v>644</v>
      </c>
      <c r="F129" s="296" t="s">
        <v>645</v>
      </c>
      <c r="G129" s="84"/>
      <c r="H129" s="84"/>
      <c r="I129" s="405">
        <f t="shared" si="52"/>
        <v>435000</v>
      </c>
      <c r="J129" s="405">
        <v>100000</v>
      </c>
      <c r="K129" s="405">
        <v>100000</v>
      </c>
      <c r="L129" s="405">
        <v>115000</v>
      </c>
      <c r="M129" s="419">
        <v>120000</v>
      </c>
      <c r="N129" s="113"/>
      <c r="O129" s="443">
        <v>435000</v>
      </c>
      <c r="P129" s="114">
        <f t="shared" si="39"/>
        <v>0</v>
      </c>
    </row>
    <row r="130" spans="1:16" ht="13.5" thickBot="1" x14ac:dyDescent="0.25">
      <c r="A130" s="978"/>
      <c r="B130" s="1019"/>
      <c r="C130" s="266"/>
      <c r="D130" s="266"/>
      <c r="E130" s="267" t="s">
        <v>646</v>
      </c>
      <c r="F130" s="296" t="s">
        <v>647</v>
      </c>
      <c r="G130" s="84"/>
      <c r="H130" s="84"/>
      <c r="I130" s="405">
        <f t="shared" si="52"/>
        <v>210000</v>
      </c>
      <c r="J130" s="405">
        <v>50000</v>
      </c>
      <c r="K130" s="405">
        <v>50000</v>
      </c>
      <c r="L130" s="405">
        <v>50000</v>
      </c>
      <c r="M130" s="419">
        <v>60000</v>
      </c>
      <c r="N130" s="113"/>
      <c r="O130" s="443">
        <v>210000</v>
      </c>
      <c r="P130" s="114">
        <f t="shared" si="39"/>
        <v>0</v>
      </c>
    </row>
    <row r="131" spans="1:16" ht="13.5" customHeight="1" thickBot="1" x14ac:dyDescent="0.25">
      <c r="A131" s="978"/>
      <c r="B131" s="1019"/>
      <c r="C131" s="1026" t="s">
        <v>474</v>
      </c>
      <c r="D131" s="1027"/>
      <c r="E131" s="1028"/>
      <c r="F131" s="269"/>
      <c r="G131" s="97">
        <f>G121+1</f>
        <v>86</v>
      </c>
      <c r="H131" s="97"/>
      <c r="I131" s="472">
        <f t="shared" ref="I131:M131" si="54">I133+I137+I145+I149+I158</f>
        <v>40121654.779859997</v>
      </c>
      <c r="J131" s="424">
        <f t="shared" si="54"/>
        <v>8557861.6021999996</v>
      </c>
      <c r="K131" s="424">
        <f t="shared" si="54"/>
        <v>12222270.298140001</v>
      </c>
      <c r="L131" s="424">
        <f t="shared" si="54"/>
        <v>9067940.6653199997</v>
      </c>
      <c r="M131" s="425">
        <f t="shared" si="54"/>
        <v>10273582.214199999</v>
      </c>
      <c r="N131" s="361">
        <f t="shared" ref="N131" si="55">N133+N137+N145+N149+N158</f>
        <v>0</v>
      </c>
      <c r="O131" s="713">
        <v>40121654.779859997</v>
      </c>
      <c r="P131" s="114">
        <f t="shared" si="39"/>
        <v>0</v>
      </c>
    </row>
    <row r="132" spans="1:16" ht="13.5" customHeight="1" thickBot="1" x14ac:dyDescent="0.25">
      <c r="A132" s="978"/>
      <c r="B132" s="1019"/>
      <c r="C132" s="306" t="s">
        <v>396</v>
      </c>
      <c r="D132" s="1033" t="s">
        <v>413</v>
      </c>
      <c r="E132" s="1034"/>
      <c r="F132" s="307">
        <v>641</v>
      </c>
      <c r="G132" s="308">
        <f t="shared" si="40"/>
        <v>87</v>
      </c>
      <c r="H132" s="308"/>
      <c r="I132" s="433">
        <f t="shared" ref="I132:M132" si="56">I133+I137</f>
        <v>32064483</v>
      </c>
      <c r="J132" s="433">
        <f t="shared" si="56"/>
        <v>6818418</v>
      </c>
      <c r="K132" s="433">
        <f t="shared" si="56"/>
        <v>9775907</v>
      </c>
      <c r="L132" s="433">
        <f t="shared" si="56"/>
        <v>7228765</v>
      </c>
      <c r="M132" s="434">
        <f t="shared" si="56"/>
        <v>8241393</v>
      </c>
      <c r="N132" s="364">
        <f t="shared" ref="N132" si="57">N133+N137</f>
        <v>0</v>
      </c>
      <c r="O132" s="714">
        <v>32064483</v>
      </c>
      <c r="P132" s="114">
        <f t="shared" si="39"/>
        <v>0</v>
      </c>
    </row>
    <row r="133" spans="1:16" ht="13.5" customHeight="1" thickBot="1" x14ac:dyDescent="0.25">
      <c r="A133" s="978"/>
      <c r="B133" s="1019"/>
      <c r="C133" s="293" t="s">
        <v>46</v>
      </c>
      <c r="D133" s="1026" t="s">
        <v>189</v>
      </c>
      <c r="E133" s="1028"/>
      <c r="F133" s="269">
        <v>641</v>
      </c>
      <c r="G133" s="97">
        <f t="shared" si="40"/>
        <v>88</v>
      </c>
      <c r="H133" s="489"/>
      <c r="I133" s="490">
        <f t="shared" ref="I133:M133" si="58">I134+I135+I136</f>
        <v>27974444</v>
      </c>
      <c r="J133" s="490">
        <f t="shared" si="58"/>
        <v>6440185</v>
      </c>
      <c r="K133" s="490">
        <f t="shared" si="58"/>
        <v>6949156</v>
      </c>
      <c r="L133" s="490">
        <f t="shared" si="58"/>
        <v>6855493</v>
      </c>
      <c r="M133" s="491">
        <f t="shared" si="58"/>
        <v>7729610</v>
      </c>
      <c r="N133" s="361">
        <f t="shared" ref="N133" si="59">N134+N135+N136</f>
        <v>0</v>
      </c>
      <c r="O133" s="715">
        <v>27974444</v>
      </c>
      <c r="P133" s="114">
        <f t="shared" si="39"/>
        <v>0</v>
      </c>
    </row>
    <row r="134" spans="1:16" ht="13.5" customHeight="1" thickBot="1" x14ac:dyDescent="0.25">
      <c r="A134" s="978"/>
      <c r="B134" s="1019"/>
      <c r="C134" s="1018"/>
      <c r="D134" s="973" t="s">
        <v>190</v>
      </c>
      <c r="E134" s="974"/>
      <c r="F134" s="268">
        <v>641</v>
      </c>
      <c r="G134" s="84">
        <f t="shared" si="40"/>
        <v>89</v>
      </c>
      <c r="H134" s="84"/>
      <c r="I134" s="430">
        <f>SUM(J134:M134)</f>
        <v>24238548</v>
      </c>
      <c r="J134" s="405">
        <v>5954550</v>
      </c>
      <c r="K134" s="405">
        <v>6002250</v>
      </c>
      <c r="L134" s="405">
        <v>6049950</v>
      </c>
      <c r="M134" s="419">
        <v>6231798</v>
      </c>
      <c r="N134" s="113"/>
      <c r="O134" s="712">
        <v>24238548</v>
      </c>
      <c r="P134" s="114">
        <f t="shared" si="39"/>
        <v>0</v>
      </c>
    </row>
    <row r="135" spans="1:16" ht="24" customHeight="1" thickBot="1" x14ac:dyDescent="0.25">
      <c r="A135" s="978"/>
      <c r="B135" s="1019"/>
      <c r="C135" s="1019"/>
      <c r="D135" s="973" t="s">
        <v>191</v>
      </c>
      <c r="E135" s="974"/>
      <c r="F135" s="268"/>
      <c r="G135" s="84">
        <f t="shared" si="40"/>
        <v>90</v>
      </c>
      <c r="H135" s="84"/>
      <c r="I135" s="430">
        <f>SUM(J135:M135)</f>
        <v>1139213</v>
      </c>
      <c r="J135" s="405">
        <v>279864</v>
      </c>
      <c r="K135" s="405">
        <v>282106</v>
      </c>
      <c r="L135" s="405">
        <v>284348</v>
      </c>
      <c r="M135" s="419">
        <v>292895</v>
      </c>
      <c r="N135" s="113"/>
      <c r="O135" s="712">
        <v>1139213</v>
      </c>
      <c r="P135" s="114">
        <f t="shared" si="39"/>
        <v>0</v>
      </c>
    </row>
    <row r="136" spans="1:16" ht="13.5" customHeight="1" thickBot="1" x14ac:dyDescent="0.25">
      <c r="A136" s="978"/>
      <c r="B136" s="1019"/>
      <c r="C136" s="1020"/>
      <c r="D136" s="973" t="s">
        <v>192</v>
      </c>
      <c r="E136" s="974"/>
      <c r="F136" s="268"/>
      <c r="G136" s="84">
        <f t="shared" si="40"/>
        <v>91</v>
      </c>
      <c r="H136" s="84"/>
      <c r="I136" s="430">
        <f>SUM(J136:M136)</f>
        <v>2596683</v>
      </c>
      <c r="J136" s="405">
        <v>205771</v>
      </c>
      <c r="K136" s="405">
        <v>664800</v>
      </c>
      <c r="L136" s="405">
        <v>521195</v>
      </c>
      <c r="M136" s="419">
        <v>1204917</v>
      </c>
      <c r="N136" s="113"/>
      <c r="O136" s="712">
        <v>2596683</v>
      </c>
      <c r="P136" s="114">
        <f t="shared" si="39"/>
        <v>0</v>
      </c>
    </row>
    <row r="137" spans="1:16" ht="13.5" customHeight="1" thickBot="1" x14ac:dyDescent="0.25">
      <c r="A137" s="978"/>
      <c r="B137" s="1019"/>
      <c r="C137" s="293" t="s">
        <v>67</v>
      </c>
      <c r="D137" s="1026" t="s">
        <v>389</v>
      </c>
      <c r="E137" s="1028"/>
      <c r="F137" s="269"/>
      <c r="G137" s="97">
        <f t="shared" si="40"/>
        <v>92</v>
      </c>
      <c r="H137" s="97"/>
      <c r="I137" s="424">
        <f t="shared" ref="I137:M137" si="60">I138+I141+I142+I143+I144</f>
        <v>4090039</v>
      </c>
      <c r="J137" s="424">
        <f t="shared" si="60"/>
        <v>378233</v>
      </c>
      <c r="K137" s="424">
        <f t="shared" si="60"/>
        <v>2826751</v>
      </c>
      <c r="L137" s="424">
        <f t="shared" si="60"/>
        <v>373272</v>
      </c>
      <c r="M137" s="425">
        <f t="shared" si="60"/>
        <v>511783</v>
      </c>
      <c r="N137" s="361">
        <f t="shared" ref="N137" si="61">N138+N141+N142+N143+N144</f>
        <v>0</v>
      </c>
      <c r="O137" s="706">
        <v>4090039</v>
      </c>
      <c r="P137" s="114">
        <f t="shared" si="39"/>
        <v>0</v>
      </c>
    </row>
    <row r="138" spans="1:16" ht="21.75" customHeight="1" thickBot="1" x14ac:dyDescent="0.25">
      <c r="A138" s="978"/>
      <c r="B138" s="1019"/>
      <c r="C138" s="71"/>
      <c r="D138" s="973" t="s">
        <v>187</v>
      </c>
      <c r="E138" s="974"/>
      <c r="F138" s="268">
        <v>6458</v>
      </c>
      <c r="G138" s="84">
        <f t="shared" si="40"/>
        <v>93</v>
      </c>
      <c r="H138" s="84"/>
      <c r="I138" s="405">
        <f t="shared" ref="I138:I144" si="62">SUM(J138:M138)</f>
        <v>505000</v>
      </c>
      <c r="J138" s="485">
        <v>35000</v>
      </c>
      <c r="K138" s="485">
        <v>350000</v>
      </c>
      <c r="L138" s="485">
        <v>60000</v>
      </c>
      <c r="M138" s="492">
        <v>60000</v>
      </c>
      <c r="N138" s="113"/>
      <c r="O138" s="443">
        <v>505000</v>
      </c>
      <c r="P138" s="114">
        <f t="shared" si="39"/>
        <v>0</v>
      </c>
    </row>
    <row r="139" spans="1:16" ht="23.25" thickBot="1" x14ac:dyDescent="0.25">
      <c r="A139" s="978"/>
      <c r="B139" s="1019"/>
      <c r="C139" s="71"/>
      <c r="D139" s="71"/>
      <c r="E139" s="71" t="s">
        <v>193</v>
      </c>
      <c r="F139" s="86"/>
      <c r="G139" s="84">
        <f t="shared" si="40"/>
        <v>94</v>
      </c>
      <c r="H139" s="84"/>
      <c r="I139" s="405">
        <f t="shared" si="62"/>
        <v>0</v>
      </c>
      <c r="J139" s="405"/>
      <c r="K139" s="405"/>
      <c r="L139" s="405"/>
      <c r="M139" s="419"/>
      <c r="N139" s="113"/>
      <c r="O139" s="443">
        <v>0</v>
      </c>
      <c r="P139" s="114">
        <f t="shared" ref="P139:P198" si="63">I139-O139</f>
        <v>0</v>
      </c>
    </row>
    <row r="140" spans="1:16" ht="23.25" thickBot="1" x14ac:dyDescent="0.25">
      <c r="A140" s="978"/>
      <c r="B140" s="1019"/>
      <c r="C140" s="71"/>
      <c r="D140" s="71"/>
      <c r="E140" s="71" t="s">
        <v>194</v>
      </c>
      <c r="F140" s="86" t="s">
        <v>648</v>
      </c>
      <c r="G140" s="84">
        <f t="shared" si="40"/>
        <v>95</v>
      </c>
      <c r="H140" s="84"/>
      <c r="I140" s="405">
        <f t="shared" si="62"/>
        <v>304000</v>
      </c>
      <c r="J140" s="485"/>
      <c r="K140" s="485">
        <f>760*400</f>
        <v>304000</v>
      </c>
      <c r="L140" s="485"/>
      <c r="M140" s="492"/>
      <c r="N140" s="113"/>
      <c r="O140" s="443">
        <v>304000</v>
      </c>
      <c r="P140" s="114">
        <f t="shared" si="63"/>
        <v>0</v>
      </c>
    </row>
    <row r="141" spans="1:16" ht="13.5" customHeight="1" thickBot="1" x14ac:dyDescent="0.25">
      <c r="A141" s="978"/>
      <c r="B141" s="1019"/>
      <c r="C141" s="71"/>
      <c r="D141" s="973" t="s">
        <v>74</v>
      </c>
      <c r="E141" s="974"/>
      <c r="F141" s="268" t="s">
        <v>649</v>
      </c>
      <c r="G141" s="84">
        <f t="shared" ref="G141:G175" si="64">G140+1</f>
        <v>96</v>
      </c>
      <c r="H141" s="84"/>
      <c r="I141" s="405">
        <f t="shared" si="62"/>
        <v>1553039</v>
      </c>
      <c r="J141" s="405">
        <v>343233</v>
      </c>
      <c r="K141" s="405">
        <v>444751</v>
      </c>
      <c r="L141" s="405">
        <v>313272</v>
      </c>
      <c r="M141" s="419">
        <v>451783</v>
      </c>
      <c r="N141" s="113"/>
      <c r="O141" s="443">
        <v>1553039</v>
      </c>
      <c r="P141" s="114">
        <f t="shared" si="63"/>
        <v>0</v>
      </c>
    </row>
    <row r="142" spans="1:16" ht="13.5" customHeight="1" thickBot="1" x14ac:dyDescent="0.25">
      <c r="A142" s="978"/>
      <c r="B142" s="1019"/>
      <c r="C142" s="71"/>
      <c r="D142" s="973" t="s">
        <v>195</v>
      </c>
      <c r="E142" s="974"/>
      <c r="F142" s="268"/>
      <c r="G142" s="84">
        <f t="shared" si="64"/>
        <v>97</v>
      </c>
      <c r="H142" s="84"/>
      <c r="I142" s="405">
        <f t="shared" si="62"/>
        <v>0</v>
      </c>
      <c r="J142" s="405"/>
      <c r="K142" s="405"/>
      <c r="L142" s="405"/>
      <c r="M142" s="419"/>
      <c r="N142" s="113"/>
      <c r="O142" s="443">
        <v>0</v>
      </c>
      <c r="P142" s="114">
        <f t="shared" si="63"/>
        <v>0</v>
      </c>
    </row>
    <row r="143" spans="1:16" ht="13.5" customHeight="1" thickBot="1" x14ac:dyDescent="0.25">
      <c r="A143" s="978"/>
      <c r="B143" s="1019"/>
      <c r="C143" s="71"/>
      <c r="D143" s="973" t="s">
        <v>390</v>
      </c>
      <c r="E143" s="974"/>
      <c r="F143" s="268">
        <v>643</v>
      </c>
      <c r="G143" s="84">
        <f t="shared" si="64"/>
        <v>98</v>
      </c>
      <c r="H143" s="489"/>
      <c r="I143" s="493">
        <f t="shared" si="62"/>
        <v>2032000</v>
      </c>
      <c r="J143" s="493"/>
      <c r="K143" s="493">
        <f>2300000-210000-58000</f>
        <v>2032000</v>
      </c>
      <c r="L143" s="493"/>
      <c r="M143" s="494"/>
      <c r="N143" s="113"/>
      <c r="O143" s="716">
        <v>2032000</v>
      </c>
      <c r="P143" s="114">
        <f t="shared" si="63"/>
        <v>0</v>
      </c>
    </row>
    <row r="144" spans="1:16" ht="13.5" customHeight="1" thickBot="1" x14ac:dyDescent="0.25">
      <c r="A144" s="978"/>
      <c r="B144" s="1019"/>
      <c r="C144" s="71"/>
      <c r="D144" s="973" t="s">
        <v>196</v>
      </c>
      <c r="E144" s="974"/>
      <c r="F144" s="268"/>
      <c r="G144" s="84">
        <f t="shared" si="64"/>
        <v>99</v>
      </c>
      <c r="H144" s="84"/>
      <c r="I144" s="405">
        <f t="shared" si="62"/>
        <v>0</v>
      </c>
      <c r="J144" s="405"/>
      <c r="K144" s="405"/>
      <c r="L144" s="405"/>
      <c r="M144" s="419"/>
      <c r="N144" s="113"/>
      <c r="O144" s="443">
        <v>0</v>
      </c>
      <c r="P144" s="114">
        <f t="shared" si="63"/>
        <v>0</v>
      </c>
    </row>
    <row r="145" spans="1:16" ht="13.5" customHeight="1" thickBot="1" x14ac:dyDescent="0.25">
      <c r="A145" s="978"/>
      <c r="B145" s="1019"/>
      <c r="C145" s="293" t="s">
        <v>124</v>
      </c>
      <c r="D145" s="1026" t="s">
        <v>197</v>
      </c>
      <c r="E145" s="1028"/>
      <c r="F145" s="269"/>
      <c r="G145" s="97">
        <f t="shared" si="64"/>
        <v>100</v>
      </c>
      <c r="H145" s="97"/>
      <c r="I145" s="424">
        <f t="shared" ref="I145:M145" si="65">I146+I147+I148</f>
        <v>0</v>
      </c>
      <c r="J145" s="424">
        <f t="shared" si="65"/>
        <v>0</v>
      </c>
      <c r="K145" s="424">
        <f t="shared" si="65"/>
        <v>0</v>
      </c>
      <c r="L145" s="424">
        <f t="shared" si="65"/>
        <v>0</v>
      </c>
      <c r="M145" s="425">
        <f t="shared" si="65"/>
        <v>0</v>
      </c>
      <c r="N145" s="361">
        <f t="shared" ref="N145" si="66">N146+N147+N148</f>
        <v>0</v>
      </c>
      <c r="O145" s="706">
        <v>0</v>
      </c>
      <c r="P145" s="114">
        <f t="shared" si="63"/>
        <v>0</v>
      </c>
    </row>
    <row r="146" spans="1:16" ht="13.5" customHeight="1" thickBot="1" x14ac:dyDescent="0.25">
      <c r="A146" s="978"/>
      <c r="B146" s="1019"/>
      <c r="C146" s="71"/>
      <c r="D146" s="973" t="s">
        <v>198</v>
      </c>
      <c r="E146" s="974"/>
      <c r="F146" s="268" t="s">
        <v>22</v>
      </c>
      <c r="G146" s="84">
        <f t="shared" si="64"/>
        <v>101</v>
      </c>
      <c r="H146" s="84"/>
      <c r="I146" s="405">
        <f>SUM(J146:M146)</f>
        <v>0</v>
      </c>
      <c r="J146" s="405">
        <v>0</v>
      </c>
      <c r="K146" s="405">
        <v>0</v>
      </c>
      <c r="L146" s="405">
        <v>0</v>
      </c>
      <c r="M146" s="419">
        <v>0</v>
      </c>
      <c r="N146" s="113">
        <v>0</v>
      </c>
      <c r="O146" s="443">
        <v>0</v>
      </c>
      <c r="P146" s="114">
        <f t="shared" si="63"/>
        <v>0</v>
      </c>
    </row>
    <row r="147" spans="1:16" ht="22.5" customHeight="1" thickBot="1" x14ac:dyDescent="0.25">
      <c r="A147" s="978"/>
      <c r="B147" s="1019"/>
      <c r="C147" s="71"/>
      <c r="D147" s="973" t="s">
        <v>199</v>
      </c>
      <c r="E147" s="974"/>
      <c r="F147" s="268" t="s">
        <v>22</v>
      </c>
      <c r="G147" s="84">
        <f t="shared" si="64"/>
        <v>102</v>
      </c>
      <c r="H147" s="84"/>
      <c r="I147" s="405">
        <f>SUM(J147:M147)</f>
        <v>0</v>
      </c>
      <c r="J147" s="405">
        <v>0</v>
      </c>
      <c r="K147" s="405">
        <v>0</v>
      </c>
      <c r="L147" s="405">
        <v>0</v>
      </c>
      <c r="M147" s="419">
        <v>0</v>
      </c>
      <c r="N147" s="113">
        <v>0</v>
      </c>
      <c r="O147" s="443">
        <v>0</v>
      </c>
      <c r="P147" s="114">
        <f t="shared" si="63"/>
        <v>0</v>
      </c>
    </row>
    <row r="148" spans="1:16" ht="30.75" customHeight="1" thickBot="1" x14ac:dyDescent="0.25">
      <c r="A148" s="978"/>
      <c r="B148" s="1019"/>
      <c r="C148" s="71"/>
      <c r="D148" s="973" t="s">
        <v>200</v>
      </c>
      <c r="E148" s="974"/>
      <c r="F148" s="268" t="s">
        <v>22</v>
      </c>
      <c r="G148" s="84">
        <f t="shared" si="64"/>
        <v>103</v>
      </c>
      <c r="H148" s="84"/>
      <c r="I148" s="405">
        <f>SUM(J148:M148)</f>
        <v>0</v>
      </c>
      <c r="J148" s="405">
        <v>0</v>
      </c>
      <c r="K148" s="405">
        <v>0</v>
      </c>
      <c r="L148" s="405">
        <v>0</v>
      </c>
      <c r="M148" s="419">
        <v>0</v>
      </c>
      <c r="N148" s="113">
        <v>0</v>
      </c>
      <c r="O148" s="443">
        <v>0</v>
      </c>
      <c r="P148" s="114">
        <f t="shared" si="63"/>
        <v>0</v>
      </c>
    </row>
    <row r="149" spans="1:16" ht="48.75" customHeight="1" thickBot="1" x14ac:dyDescent="0.25">
      <c r="A149" s="978"/>
      <c r="B149" s="1019"/>
      <c r="C149" s="293" t="s">
        <v>63</v>
      </c>
      <c r="D149" s="986" t="s">
        <v>75</v>
      </c>
      <c r="E149" s="988"/>
      <c r="F149" s="270"/>
      <c r="G149" s="97">
        <f t="shared" si="64"/>
        <v>104</v>
      </c>
      <c r="H149" s="489"/>
      <c r="I149" s="493">
        <f t="shared" ref="I149:M149" si="67">I150+I153+I156+I157</f>
        <v>686555</v>
      </c>
      <c r="J149" s="493">
        <f t="shared" si="67"/>
        <v>155545</v>
      </c>
      <c r="K149" s="493">
        <f t="shared" si="67"/>
        <v>233545</v>
      </c>
      <c r="L149" s="493">
        <f t="shared" si="67"/>
        <v>155545</v>
      </c>
      <c r="M149" s="494">
        <f t="shared" si="67"/>
        <v>141920</v>
      </c>
      <c r="N149" s="362">
        <f t="shared" ref="N149" si="68">N150+N153+N156+N157</f>
        <v>0</v>
      </c>
      <c r="O149" s="716">
        <v>686555</v>
      </c>
      <c r="P149" s="114">
        <f t="shared" si="63"/>
        <v>0</v>
      </c>
    </row>
    <row r="150" spans="1:16" ht="16.5" customHeight="1" thickBot="1" x14ac:dyDescent="0.25">
      <c r="A150" s="978"/>
      <c r="B150" s="1019"/>
      <c r="C150" s="1018"/>
      <c r="D150" s="973" t="s">
        <v>282</v>
      </c>
      <c r="E150" s="974"/>
      <c r="F150" s="268" t="s">
        <v>650</v>
      </c>
      <c r="G150" s="84">
        <f t="shared" si="64"/>
        <v>105</v>
      </c>
      <c r="H150" s="84"/>
      <c r="I150" s="435">
        <f t="shared" ref="I150:I155" si="69">SUM(J150:M150)</f>
        <v>258000</v>
      </c>
      <c r="J150" s="435">
        <f t="shared" ref="J150:M150" si="70">SUM(J151:J152)</f>
        <v>45000</v>
      </c>
      <c r="K150" s="435">
        <f t="shared" si="70"/>
        <v>123000</v>
      </c>
      <c r="L150" s="435">
        <f t="shared" si="70"/>
        <v>45000</v>
      </c>
      <c r="M150" s="436">
        <f t="shared" si="70"/>
        <v>45000</v>
      </c>
      <c r="N150" s="365">
        <f>SUM(N151:N152)</f>
        <v>0</v>
      </c>
      <c r="O150" s="717">
        <v>258000</v>
      </c>
      <c r="P150" s="114">
        <f t="shared" si="63"/>
        <v>0</v>
      </c>
    </row>
    <row r="151" spans="1:16" ht="13.5" thickBot="1" x14ac:dyDescent="0.25">
      <c r="A151" s="978"/>
      <c r="B151" s="1019"/>
      <c r="C151" s="1019"/>
      <c r="D151" s="306"/>
      <c r="E151" s="310" t="s">
        <v>414</v>
      </c>
      <c r="F151" s="311"/>
      <c r="G151" s="308">
        <f t="shared" si="64"/>
        <v>106</v>
      </c>
      <c r="H151" s="308"/>
      <c r="I151" s="437">
        <f t="shared" si="69"/>
        <v>78000</v>
      </c>
      <c r="J151" s="437">
        <v>19500</v>
      </c>
      <c r="K151" s="437">
        <v>19500</v>
      </c>
      <c r="L151" s="437">
        <v>19500</v>
      </c>
      <c r="M151" s="437">
        <v>19500</v>
      </c>
      <c r="N151" s="366"/>
      <c r="O151" s="718">
        <v>78000</v>
      </c>
      <c r="P151" s="114">
        <f t="shared" si="63"/>
        <v>0</v>
      </c>
    </row>
    <row r="152" spans="1:16" ht="13.5" thickBot="1" x14ac:dyDescent="0.25">
      <c r="A152" s="978"/>
      <c r="B152" s="1019"/>
      <c r="C152" s="1019"/>
      <c r="D152" s="306"/>
      <c r="E152" s="310" t="s">
        <v>415</v>
      </c>
      <c r="F152" s="311"/>
      <c r="G152" s="308">
        <f t="shared" si="64"/>
        <v>107</v>
      </c>
      <c r="H152" s="308"/>
      <c r="I152" s="437">
        <f t="shared" si="69"/>
        <v>180000</v>
      </c>
      <c r="J152" s="437">
        <v>25500</v>
      </c>
      <c r="K152" s="437">
        <v>103500</v>
      </c>
      <c r="L152" s="437">
        <v>25500</v>
      </c>
      <c r="M152" s="437">
        <v>25500</v>
      </c>
      <c r="N152" s="366"/>
      <c r="O152" s="718">
        <v>180000</v>
      </c>
      <c r="P152" s="114">
        <f t="shared" si="63"/>
        <v>0</v>
      </c>
    </row>
    <row r="153" spans="1:16" ht="13.5" customHeight="1" thickBot="1" x14ac:dyDescent="0.25">
      <c r="A153" s="978"/>
      <c r="B153" s="1019"/>
      <c r="C153" s="1019"/>
      <c r="D153" s="973" t="s">
        <v>201</v>
      </c>
      <c r="E153" s="974"/>
      <c r="F153" s="268" t="s">
        <v>651</v>
      </c>
      <c r="G153" s="84">
        <f t="shared" si="64"/>
        <v>108</v>
      </c>
      <c r="H153" s="84"/>
      <c r="I153" s="435">
        <f t="shared" si="69"/>
        <v>333180</v>
      </c>
      <c r="J153" s="435">
        <f t="shared" ref="J153:M153" si="71">SUM(J154:J155)</f>
        <v>83295</v>
      </c>
      <c r="K153" s="435">
        <f t="shared" si="71"/>
        <v>83295</v>
      </c>
      <c r="L153" s="435">
        <f t="shared" si="71"/>
        <v>83295</v>
      </c>
      <c r="M153" s="436">
        <f t="shared" si="71"/>
        <v>83295</v>
      </c>
      <c r="N153" s="365">
        <f>SUM(N154:N155)</f>
        <v>0</v>
      </c>
      <c r="O153" s="717">
        <v>333180</v>
      </c>
      <c r="P153" s="114">
        <f t="shared" si="63"/>
        <v>0</v>
      </c>
    </row>
    <row r="154" spans="1:16" ht="13.5" thickBot="1" x14ac:dyDescent="0.25">
      <c r="A154" s="978"/>
      <c r="B154" s="1019"/>
      <c r="C154" s="1019"/>
      <c r="D154" s="313"/>
      <c r="E154" s="310" t="s">
        <v>414</v>
      </c>
      <c r="F154" s="311"/>
      <c r="G154" s="308">
        <f t="shared" si="64"/>
        <v>109</v>
      </c>
      <c r="H154" s="308"/>
      <c r="I154" s="439">
        <f t="shared" si="69"/>
        <v>265680</v>
      </c>
      <c r="J154" s="439">
        <f>7500+52500+6420</f>
        <v>66420</v>
      </c>
      <c r="K154" s="439">
        <f>7500+52500+6420</f>
        <v>66420</v>
      </c>
      <c r="L154" s="439">
        <f>7500+52500+6420</f>
        <v>66420</v>
      </c>
      <c r="M154" s="439">
        <f>7500+52500+6420</f>
        <v>66420</v>
      </c>
      <c r="N154" s="367"/>
      <c r="O154" s="719">
        <v>265680</v>
      </c>
      <c r="P154" s="114">
        <f t="shared" si="63"/>
        <v>0</v>
      </c>
    </row>
    <row r="155" spans="1:16" ht="13.5" thickBot="1" x14ac:dyDescent="0.25">
      <c r="A155" s="978"/>
      <c r="B155" s="1019"/>
      <c r="C155" s="1019"/>
      <c r="D155" s="313"/>
      <c r="E155" s="310" t="s">
        <v>415</v>
      </c>
      <c r="F155" s="311"/>
      <c r="G155" s="308">
        <f t="shared" si="64"/>
        <v>110</v>
      </c>
      <c r="H155" s="308"/>
      <c r="I155" s="439">
        <f t="shared" si="69"/>
        <v>67500</v>
      </c>
      <c r="J155" s="439">
        <f>3750+13125</f>
        <v>16875</v>
      </c>
      <c r="K155" s="439">
        <f>3750+13125</f>
        <v>16875</v>
      </c>
      <c r="L155" s="439">
        <f>3750+13125</f>
        <v>16875</v>
      </c>
      <c r="M155" s="439">
        <f>3750+13125</f>
        <v>16875</v>
      </c>
      <c r="N155" s="367"/>
      <c r="O155" s="719">
        <v>67500</v>
      </c>
      <c r="P155" s="114">
        <f t="shared" si="63"/>
        <v>0</v>
      </c>
    </row>
    <row r="156" spans="1:16" ht="13.5" customHeight="1" thickBot="1" x14ac:dyDescent="0.25">
      <c r="A156" s="978"/>
      <c r="B156" s="1019"/>
      <c r="C156" s="1020"/>
      <c r="D156" s="973" t="s">
        <v>202</v>
      </c>
      <c r="E156" s="974"/>
      <c r="F156" s="268" t="s">
        <v>652</v>
      </c>
      <c r="G156" s="84">
        <f t="shared" si="64"/>
        <v>111</v>
      </c>
      <c r="H156" s="84"/>
      <c r="I156" s="435">
        <f t="shared" ref="I156:I164" si="72">SUM(J156:M156)</f>
        <v>95375</v>
      </c>
      <c r="J156" s="435">
        <v>27250</v>
      </c>
      <c r="K156" s="435">
        <v>27250</v>
      </c>
      <c r="L156" s="435">
        <v>27250</v>
      </c>
      <c r="M156" s="436">
        <v>13625</v>
      </c>
      <c r="N156" s="365"/>
      <c r="O156" s="717">
        <v>95375</v>
      </c>
      <c r="P156" s="114">
        <f t="shared" si="63"/>
        <v>0</v>
      </c>
    </row>
    <row r="157" spans="1:16" ht="13.5" customHeight="1" thickBot="1" x14ac:dyDescent="0.25">
      <c r="A157" s="978"/>
      <c r="B157" s="1019"/>
      <c r="C157" s="71"/>
      <c r="D157" s="973" t="s">
        <v>203</v>
      </c>
      <c r="E157" s="974"/>
      <c r="F157" s="268"/>
      <c r="G157" s="84">
        <f t="shared" si="64"/>
        <v>112</v>
      </c>
      <c r="H157" s="84"/>
      <c r="I157" s="405">
        <f t="shared" si="72"/>
        <v>0</v>
      </c>
      <c r="J157" s="405">
        <v>0</v>
      </c>
      <c r="K157" s="405">
        <v>0</v>
      </c>
      <c r="L157" s="405">
        <v>0</v>
      </c>
      <c r="M157" s="419">
        <v>0</v>
      </c>
      <c r="N157" s="113">
        <v>0</v>
      </c>
      <c r="O157" s="443">
        <v>0</v>
      </c>
      <c r="P157" s="114">
        <f t="shared" si="63"/>
        <v>0</v>
      </c>
    </row>
    <row r="158" spans="1:16" ht="36" customHeight="1" thickBot="1" x14ac:dyDescent="0.25">
      <c r="A158" s="978"/>
      <c r="B158" s="1019"/>
      <c r="C158" s="293" t="s">
        <v>68</v>
      </c>
      <c r="D158" s="986" t="s">
        <v>204</v>
      </c>
      <c r="E158" s="988"/>
      <c r="F158" s="270"/>
      <c r="G158" s="97">
        <f t="shared" si="64"/>
        <v>113</v>
      </c>
      <c r="H158" s="409">
        <f>SUM(H159:H161)</f>
        <v>0.24013999999999999</v>
      </c>
      <c r="I158" s="426">
        <f t="shared" si="72"/>
        <v>7370616.7798600001</v>
      </c>
      <c r="J158" s="426">
        <f t="shared" ref="J158:M158" si="73">SUM(J159:J164)</f>
        <v>1583898.6022000001</v>
      </c>
      <c r="K158" s="426">
        <f t="shared" si="73"/>
        <v>2212818.2981399996</v>
      </c>
      <c r="L158" s="426">
        <f t="shared" si="73"/>
        <v>1683630.6653199997</v>
      </c>
      <c r="M158" s="427">
        <f t="shared" si="73"/>
        <v>1890269.2142</v>
      </c>
      <c r="N158" s="362">
        <f>SUM(N159:N164)</f>
        <v>0</v>
      </c>
      <c r="O158" s="707">
        <v>7370616.7798600001</v>
      </c>
      <c r="P158" s="114">
        <f t="shared" si="63"/>
        <v>0</v>
      </c>
    </row>
    <row r="159" spans="1:16" ht="13.5" customHeight="1" thickBot="1" x14ac:dyDescent="0.25">
      <c r="A159" s="978"/>
      <c r="B159" s="1019"/>
      <c r="C159" s="314"/>
      <c r="D159" s="973" t="s">
        <v>205</v>
      </c>
      <c r="E159" s="974"/>
      <c r="F159" s="268">
        <v>645</v>
      </c>
      <c r="G159" s="84">
        <f t="shared" si="64"/>
        <v>114</v>
      </c>
      <c r="H159" s="495">
        <f>(15.8+0.214 +1.2)%</f>
        <v>0.17213999999999999</v>
      </c>
      <c r="I159" s="430">
        <f t="shared" si="72"/>
        <v>5283492.8478600001</v>
      </c>
      <c r="J159" s="405">
        <f>(J133+J143+J149)*$H$159</f>
        <v>1135388.9622</v>
      </c>
      <c r="K159" s="405">
        <f>(K133+K143+K149)*$H$159</f>
        <v>1586218.6301399998</v>
      </c>
      <c r="L159" s="405">
        <f>(L133+L143+L149)*$H$159</f>
        <v>1206880.0813199999</v>
      </c>
      <c r="M159" s="405">
        <f>(M133+M143+M149)*$H$159</f>
        <v>1355005.1742</v>
      </c>
      <c r="N159" s="113"/>
      <c r="O159" s="712">
        <v>5283492.8478600001</v>
      </c>
      <c r="P159" s="114">
        <f t="shared" si="63"/>
        <v>0</v>
      </c>
    </row>
    <row r="160" spans="1:16" ht="13.5" customHeight="1" thickBot="1" x14ac:dyDescent="0.25">
      <c r="A160" s="978"/>
      <c r="B160" s="1019"/>
      <c r="C160" s="315"/>
      <c r="D160" s="973" t="s">
        <v>206</v>
      </c>
      <c r="E160" s="974"/>
      <c r="F160" s="268">
        <v>6452</v>
      </c>
      <c r="G160" s="84">
        <f t="shared" si="64"/>
        <v>115</v>
      </c>
      <c r="H160" s="495">
        <f>(0.5+0.25)%</f>
        <v>7.4999999999999997E-3</v>
      </c>
      <c r="I160" s="430">
        <f t="shared" si="72"/>
        <v>230197.49249999999</v>
      </c>
      <c r="J160" s="405">
        <f>(J133+J143+J149)*$H$160</f>
        <v>49467.974999999999</v>
      </c>
      <c r="K160" s="405">
        <f>(K133+K143+K149)*$H$160</f>
        <v>69110.257499999992</v>
      </c>
      <c r="L160" s="405">
        <f>(L133+L143+L149)*$H$160</f>
        <v>52582.784999999996</v>
      </c>
      <c r="M160" s="405">
        <f>(M133+M143+M149)*$H$160</f>
        <v>59036.474999999999</v>
      </c>
      <c r="N160" s="113"/>
      <c r="O160" s="712">
        <v>230197.49249999999</v>
      </c>
      <c r="P160" s="114">
        <f t="shared" si="63"/>
        <v>0</v>
      </c>
    </row>
    <row r="161" spans="1:16" ht="13.5" customHeight="1" thickBot="1" x14ac:dyDescent="0.25">
      <c r="A161" s="978"/>
      <c r="B161" s="1019"/>
      <c r="C161" s="315"/>
      <c r="D161" s="973" t="s">
        <v>207</v>
      </c>
      <c r="E161" s="974"/>
      <c r="F161" s="268">
        <v>6453</v>
      </c>
      <c r="G161" s="84">
        <f t="shared" si="64"/>
        <v>116</v>
      </c>
      <c r="H161" s="495">
        <f>(5.2+0.85)%</f>
        <v>6.0499999999999998E-2</v>
      </c>
      <c r="I161" s="430">
        <f t="shared" si="72"/>
        <v>1856926.4394999999</v>
      </c>
      <c r="J161" s="405">
        <f>(J133+J143+J149)*$H$161</f>
        <v>399041.66499999998</v>
      </c>
      <c r="K161" s="405">
        <f>(K133+K143+K149)*$H$161</f>
        <v>557489.4105</v>
      </c>
      <c r="L161" s="405">
        <f>(L133+L143+L149)*$H$161</f>
        <v>424167.799</v>
      </c>
      <c r="M161" s="405">
        <f>(M133+M143+M149)*$H$161</f>
        <v>476227.565</v>
      </c>
      <c r="N161" s="113"/>
      <c r="O161" s="712">
        <v>1856926.4394999999</v>
      </c>
      <c r="P161" s="114">
        <f t="shared" si="63"/>
        <v>0</v>
      </c>
    </row>
    <row r="162" spans="1:16" ht="13.5" customHeight="1" thickBot="1" x14ac:dyDescent="0.25">
      <c r="A162" s="978"/>
      <c r="B162" s="1019"/>
      <c r="C162" s="315"/>
      <c r="D162" s="973" t="s">
        <v>208</v>
      </c>
      <c r="E162" s="974"/>
      <c r="F162" s="268"/>
      <c r="G162" s="84">
        <f t="shared" si="64"/>
        <v>117</v>
      </c>
      <c r="H162" s="84"/>
      <c r="I162" s="430">
        <f t="shared" si="72"/>
        <v>0</v>
      </c>
      <c r="J162" s="405"/>
      <c r="K162" s="405"/>
      <c r="L162" s="405"/>
      <c r="M162" s="405"/>
      <c r="N162" s="113"/>
      <c r="O162" s="712">
        <v>0</v>
      </c>
      <c r="P162" s="114">
        <f t="shared" si="63"/>
        <v>0</v>
      </c>
    </row>
    <row r="163" spans="1:16" ht="13.5" customHeight="1" thickBot="1" x14ac:dyDescent="0.25">
      <c r="A163" s="978"/>
      <c r="B163" s="1019"/>
      <c r="C163" s="315"/>
      <c r="D163" s="973" t="s">
        <v>209</v>
      </c>
      <c r="E163" s="974"/>
      <c r="F163" s="268"/>
      <c r="G163" s="84">
        <f t="shared" si="64"/>
        <v>118</v>
      </c>
      <c r="H163" s="84"/>
      <c r="I163" s="430">
        <f t="shared" si="72"/>
        <v>0</v>
      </c>
      <c r="J163" s="405"/>
      <c r="K163" s="405"/>
      <c r="L163" s="405"/>
      <c r="M163" s="419"/>
      <c r="N163" s="113"/>
      <c r="O163" s="712">
        <v>0</v>
      </c>
      <c r="P163" s="114">
        <f t="shared" si="63"/>
        <v>0</v>
      </c>
    </row>
    <row r="164" spans="1:16" ht="13.5" customHeight="1" thickBot="1" x14ac:dyDescent="0.25">
      <c r="A164" s="978"/>
      <c r="B164" s="1019"/>
      <c r="C164" s="298"/>
      <c r="D164" s="973" t="s">
        <v>210</v>
      </c>
      <c r="E164" s="974"/>
      <c r="F164" s="268"/>
      <c r="G164" s="84">
        <f t="shared" si="64"/>
        <v>119</v>
      </c>
      <c r="H164" s="84"/>
      <c r="I164" s="430">
        <f t="shared" si="72"/>
        <v>0</v>
      </c>
      <c r="J164" s="405"/>
      <c r="K164" s="405"/>
      <c r="L164" s="405"/>
      <c r="M164" s="419"/>
      <c r="N164" s="113"/>
      <c r="O164" s="712">
        <v>0</v>
      </c>
      <c r="P164" s="114">
        <f t="shared" si="63"/>
        <v>0</v>
      </c>
    </row>
    <row r="165" spans="1:16" ht="23.25" customHeight="1" thickBot="1" x14ac:dyDescent="0.25">
      <c r="A165" s="978"/>
      <c r="B165" s="1019"/>
      <c r="C165" s="986" t="s">
        <v>469</v>
      </c>
      <c r="D165" s="987"/>
      <c r="E165" s="988"/>
      <c r="F165" s="270"/>
      <c r="G165" s="97">
        <f t="shared" si="64"/>
        <v>120</v>
      </c>
      <c r="H165" s="97"/>
      <c r="I165" s="426">
        <f t="shared" ref="I165:M165" si="74">I166+I169+I170+I171+I172+I173</f>
        <v>8934000</v>
      </c>
      <c r="J165" s="426">
        <f t="shared" si="74"/>
        <v>1661000</v>
      </c>
      <c r="K165" s="426">
        <f t="shared" si="74"/>
        <v>-539000</v>
      </c>
      <c r="L165" s="426">
        <f t="shared" si="74"/>
        <v>1791000</v>
      </c>
      <c r="M165" s="427">
        <f t="shared" si="74"/>
        <v>6021000</v>
      </c>
      <c r="N165" s="362">
        <f t="shared" ref="N165" si="75">N166+N169+N170+N171+N172+N173</f>
        <v>0</v>
      </c>
      <c r="O165" s="707">
        <v>8934000</v>
      </c>
      <c r="P165" s="114">
        <f t="shared" si="63"/>
        <v>0</v>
      </c>
    </row>
    <row r="166" spans="1:16" ht="13.5" customHeight="1" thickBot="1" x14ac:dyDescent="0.25">
      <c r="A166" s="978"/>
      <c r="B166" s="1019"/>
      <c r="C166" s="71" t="s">
        <v>27</v>
      </c>
      <c r="D166" s="973" t="s">
        <v>470</v>
      </c>
      <c r="E166" s="974"/>
      <c r="F166" s="268"/>
      <c r="G166" s="84">
        <f t="shared" si="64"/>
        <v>121</v>
      </c>
      <c r="H166" s="84"/>
      <c r="I166" s="405">
        <f t="shared" ref="I166:M166" si="76">SUM(I167:I168)</f>
        <v>84000</v>
      </c>
      <c r="J166" s="405">
        <f t="shared" si="76"/>
        <v>21000</v>
      </c>
      <c r="K166" s="405">
        <f t="shared" si="76"/>
        <v>21000</v>
      </c>
      <c r="L166" s="405">
        <f t="shared" si="76"/>
        <v>21000</v>
      </c>
      <c r="M166" s="419">
        <f t="shared" si="76"/>
        <v>21000</v>
      </c>
      <c r="N166" s="113">
        <f t="shared" ref="N166" si="77">SUM(N167:N168)</f>
        <v>0</v>
      </c>
      <c r="O166" s="443">
        <v>84000</v>
      </c>
      <c r="P166" s="114">
        <f t="shared" si="63"/>
        <v>0</v>
      </c>
    </row>
    <row r="167" spans="1:16" ht="13.5" customHeight="1" thickBot="1" x14ac:dyDescent="0.25">
      <c r="A167" s="978"/>
      <c r="B167" s="1019"/>
      <c r="C167" s="71"/>
      <c r="D167" s="973" t="s">
        <v>211</v>
      </c>
      <c r="E167" s="974"/>
      <c r="F167" s="268">
        <v>6581</v>
      </c>
      <c r="G167" s="84">
        <f t="shared" si="64"/>
        <v>122</v>
      </c>
      <c r="H167" s="84"/>
      <c r="I167" s="405">
        <f t="shared" ref="I167:I172" si="78">SUM(J167:M167)</f>
        <v>80000</v>
      </c>
      <c r="J167" s="405">
        <v>20000</v>
      </c>
      <c r="K167" s="405">
        <v>20000</v>
      </c>
      <c r="L167" s="405">
        <v>20000</v>
      </c>
      <c r="M167" s="405">
        <v>20000</v>
      </c>
      <c r="N167" s="113"/>
      <c r="O167" s="443">
        <v>80000</v>
      </c>
      <c r="P167" s="114">
        <f t="shared" si="63"/>
        <v>0</v>
      </c>
    </row>
    <row r="168" spans="1:16" ht="13.5" customHeight="1" thickBot="1" x14ac:dyDescent="0.25">
      <c r="A168" s="978"/>
      <c r="B168" s="1019"/>
      <c r="C168" s="71"/>
      <c r="D168" s="973" t="s">
        <v>212</v>
      </c>
      <c r="E168" s="974"/>
      <c r="F168" s="268" t="s">
        <v>653</v>
      </c>
      <c r="G168" s="84">
        <f t="shared" si="64"/>
        <v>123</v>
      </c>
      <c r="H168" s="84"/>
      <c r="I168" s="405">
        <f t="shared" si="78"/>
        <v>4000</v>
      </c>
      <c r="J168" s="405">
        <v>1000</v>
      </c>
      <c r="K168" s="405">
        <v>1000</v>
      </c>
      <c r="L168" s="405">
        <v>1000</v>
      </c>
      <c r="M168" s="405">
        <v>1000</v>
      </c>
      <c r="N168" s="113"/>
      <c r="O168" s="443">
        <v>4000</v>
      </c>
      <c r="P168" s="114">
        <f t="shared" si="63"/>
        <v>0</v>
      </c>
    </row>
    <row r="169" spans="1:16" ht="13.5" customHeight="1" thickBot="1" x14ac:dyDescent="0.25">
      <c r="A169" s="979"/>
      <c r="B169" s="1020"/>
      <c r="C169" s="71" t="s">
        <v>38</v>
      </c>
      <c r="D169" s="973" t="s">
        <v>213</v>
      </c>
      <c r="E169" s="974"/>
      <c r="F169" s="268">
        <v>653</v>
      </c>
      <c r="G169" s="84">
        <f t="shared" si="64"/>
        <v>124</v>
      </c>
      <c r="H169" s="84"/>
      <c r="I169" s="405">
        <f t="shared" si="78"/>
        <v>0</v>
      </c>
      <c r="J169" s="405"/>
      <c r="K169" s="405"/>
      <c r="L169" s="405"/>
      <c r="M169" s="419"/>
      <c r="N169" s="113"/>
      <c r="O169" s="443">
        <v>0</v>
      </c>
      <c r="P169" s="114">
        <f t="shared" si="63"/>
        <v>0</v>
      </c>
    </row>
    <row r="170" spans="1:16" ht="13.5" customHeight="1" thickBot="1" x14ac:dyDescent="0.25">
      <c r="A170" s="977"/>
      <c r="B170" s="1018"/>
      <c r="C170" s="71" t="s">
        <v>40</v>
      </c>
      <c r="D170" s="973" t="s">
        <v>287</v>
      </c>
      <c r="E170" s="974"/>
      <c r="F170" s="268"/>
      <c r="G170" s="84">
        <f t="shared" si="64"/>
        <v>125</v>
      </c>
      <c r="H170" s="84"/>
      <c r="I170" s="405">
        <f t="shared" si="78"/>
        <v>0</v>
      </c>
      <c r="J170" s="405"/>
      <c r="K170" s="405"/>
      <c r="L170" s="405"/>
      <c r="M170" s="419"/>
      <c r="N170" s="113"/>
      <c r="O170" s="443">
        <v>0</v>
      </c>
      <c r="P170" s="114">
        <f t="shared" si="63"/>
        <v>0</v>
      </c>
    </row>
    <row r="171" spans="1:16" ht="13.5" customHeight="1" thickBot="1" x14ac:dyDescent="0.25">
      <c r="A171" s="978"/>
      <c r="B171" s="1019"/>
      <c r="C171" s="71" t="s">
        <v>42</v>
      </c>
      <c r="D171" s="973" t="s">
        <v>149</v>
      </c>
      <c r="E171" s="974"/>
      <c r="F171" s="268">
        <v>658</v>
      </c>
      <c r="G171" s="84">
        <f t="shared" si="64"/>
        <v>126</v>
      </c>
      <c r="H171" s="84"/>
      <c r="I171" s="405">
        <f t="shared" si="78"/>
        <v>0</v>
      </c>
      <c r="J171" s="405"/>
      <c r="K171" s="405"/>
      <c r="L171" s="405"/>
      <c r="M171" s="419"/>
      <c r="N171" s="113"/>
      <c r="O171" s="443">
        <v>0</v>
      </c>
      <c r="P171" s="114">
        <f t="shared" si="63"/>
        <v>0</v>
      </c>
    </row>
    <row r="172" spans="1:16" ht="13.5" customHeight="1" thickBot="1" x14ac:dyDescent="0.25">
      <c r="A172" s="978"/>
      <c r="B172" s="1019"/>
      <c r="C172" s="71" t="s">
        <v>28</v>
      </c>
      <c r="D172" s="973" t="s">
        <v>288</v>
      </c>
      <c r="E172" s="974"/>
      <c r="F172" s="268">
        <v>681</v>
      </c>
      <c r="G172" s="84">
        <f t="shared" si="64"/>
        <v>127</v>
      </c>
      <c r="H172" s="84"/>
      <c r="I172" s="405">
        <f t="shared" si="78"/>
        <v>7470000</v>
      </c>
      <c r="J172" s="405">
        <f>580000*3</f>
        <v>1740000</v>
      </c>
      <c r="K172" s="405">
        <f>600000*3</f>
        <v>1800000</v>
      </c>
      <c r="L172" s="405">
        <f>610000*3</f>
        <v>1830000</v>
      </c>
      <c r="M172" s="419">
        <f>700000*3</f>
        <v>2100000</v>
      </c>
      <c r="N172" s="113"/>
      <c r="O172" s="443">
        <v>7470000</v>
      </c>
      <c r="P172" s="114">
        <f t="shared" si="63"/>
        <v>0</v>
      </c>
    </row>
    <row r="173" spans="1:16" ht="21.75" customHeight="1" thickBot="1" x14ac:dyDescent="0.25">
      <c r="A173" s="978"/>
      <c r="B173" s="1020"/>
      <c r="C173" s="71" t="s">
        <v>34</v>
      </c>
      <c r="D173" s="973" t="s">
        <v>345</v>
      </c>
      <c r="E173" s="974"/>
      <c r="F173" s="268"/>
      <c r="G173" s="84">
        <f t="shared" si="64"/>
        <v>128</v>
      </c>
      <c r="H173" s="84"/>
      <c r="I173" s="405">
        <f t="shared" ref="I173:M173" si="79">I174-I177</f>
        <v>1380000</v>
      </c>
      <c r="J173" s="405">
        <f t="shared" si="79"/>
        <v>-100000</v>
      </c>
      <c r="K173" s="405">
        <f t="shared" si="79"/>
        <v>-2360000</v>
      </c>
      <c r="L173" s="405">
        <f t="shared" si="79"/>
        <v>-60000</v>
      </c>
      <c r="M173" s="419">
        <f t="shared" si="79"/>
        <v>3900000</v>
      </c>
      <c r="N173" s="113">
        <f t="shared" ref="N173" si="80">N174-N177</f>
        <v>0</v>
      </c>
      <c r="O173" s="443">
        <v>1380000</v>
      </c>
      <c r="P173" s="114">
        <f t="shared" si="63"/>
        <v>0</v>
      </c>
    </row>
    <row r="174" spans="1:16" ht="27.75" customHeight="1" thickBot="1" x14ac:dyDescent="0.25">
      <c r="A174" s="978"/>
      <c r="B174" s="71"/>
      <c r="C174" s="71"/>
      <c r="D174" s="71" t="s">
        <v>51</v>
      </c>
      <c r="E174" s="71" t="s">
        <v>460</v>
      </c>
      <c r="F174" s="86">
        <v>6814</v>
      </c>
      <c r="G174" s="84">
        <f t="shared" si="64"/>
        <v>129</v>
      </c>
      <c r="H174" s="84"/>
      <c r="I174" s="405">
        <f>SUM(J174:M174)</f>
        <v>4300000</v>
      </c>
      <c r="J174" s="432"/>
      <c r="K174" s="432"/>
      <c r="L174" s="432"/>
      <c r="M174" s="492">
        <v>4300000</v>
      </c>
      <c r="N174" s="113"/>
      <c r="O174" s="443">
        <v>4300000</v>
      </c>
      <c r="P174" s="114">
        <f t="shared" si="63"/>
        <v>0</v>
      </c>
    </row>
    <row r="175" spans="1:16" ht="23.25" thickBot="1" x14ac:dyDescent="0.25">
      <c r="A175" s="978"/>
      <c r="B175" s="71"/>
      <c r="C175" s="71"/>
      <c r="D175" s="306" t="s">
        <v>416</v>
      </c>
      <c r="E175" s="310" t="s">
        <v>417</v>
      </c>
      <c r="F175" s="311" t="s">
        <v>654</v>
      </c>
      <c r="G175" s="84">
        <f t="shared" si="64"/>
        <v>130</v>
      </c>
      <c r="H175" s="84"/>
      <c r="I175" s="405">
        <f>SUM(J175:M175)</f>
        <v>2300000</v>
      </c>
      <c r="J175" s="405"/>
      <c r="K175" s="405"/>
      <c r="L175" s="405"/>
      <c r="M175" s="492">
        <v>2300000</v>
      </c>
      <c r="N175" s="113"/>
      <c r="O175" s="443">
        <v>2300000</v>
      </c>
      <c r="P175" s="114">
        <f t="shared" si="63"/>
        <v>0</v>
      </c>
    </row>
    <row r="176" spans="1:16" ht="13.5" thickBot="1" x14ac:dyDescent="0.25">
      <c r="A176" s="978"/>
      <c r="B176" s="71"/>
      <c r="C176" s="71"/>
      <c r="D176" s="306" t="s">
        <v>418</v>
      </c>
      <c r="E176" s="316" t="s">
        <v>419</v>
      </c>
      <c r="F176" s="317"/>
      <c r="G176" s="121" t="s">
        <v>420</v>
      </c>
      <c r="H176" s="408"/>
      <c r="I176" s="405"/>
      <c r="J176" s="405"/>
      <c r="K176" s="405"/>
      <c r="L176" s="405"/>
      <c r="M176" s="419"/>
      <c r="N176" s="113"/>
      <c r="O176" s="443"/>
      <c r="P176" s="114">
        <f t="shared" si="63"/>
        <v>0</v>
      </c>
    </row>
    <row r="177" spans="1:16" ht="23.25" thickBot="1" x14ac:dyDescent="0.25">
      <c r="A177" s="978"/>
      <c r="B177" s="71"/>
      <c r="C177" s="71"/>
      <c r="D177" s="318" t="s">
        <v>52</v>
      </c>
      <c r="E177" s="71" t="s">
        <v>346</v>
      </c>
      <c r="F177" s="86">
        <v>781</v>
      </c>
      <c r="G177" s="84">
        <v>131</v>
      </c>
      <c r="H177" s="84"/>
      <c r="I177" s="432">
        <f t="shared" ref="I177:M177" si="81">I178</f>
        <v>2920000</v>
      </c>
      <c r="J177" s="432">
        <f t="shared" si="81"/>
        <v>100000</v>
      </c>
      <c r="K177" s="432">
        <f t="shared" si="81"/>
        <v>2360000</v>
      </c>
      <c r="L177" s="432">
        <f t="shared" si="81"/>
        <v>60000</v>
      </c>
      <c r="M177" s="496">
        <f t="shared" si="81"/>
        <v>400000</v>
      </c>
      <c r="N177" s="113">
        <f t="shared" ref="N177" si="82">N178</f>
        <v>0</v>
      </c>
      <c r="O177" s="708">
        <v>2920000</v>
      </c>
      <c r="P177" s="114">
        <f t="shared" si="63"/>
        <v>0</v>
      </c>
    </row>
    <row r="178" spans="1:16" ht="23.25" thickBot="1" x14ac:dyDescent="0.25">
      <c r="A178" s="978"/>
      <c r="B178" s="71"/>
      <c r="C178" s="71"/>
      <c r="D178" s="318" t="s">
        <v>65</v>
      </c>
      <c r="E178" s="71" t="s">
        <v>459</v>
      </c>
      <c r="F178" s="86">
        <v>7814</v>
      </c>
      <c r="G178" s="84">
        <f t="shared" ref="G178:G194" si="83">G177+1</f>
        <v>132</v>
      </c>
      <c r="H178" s="84"/>
      <c r="I178" s="405">
        <f t="shared" ref="I178:M178" si="84">I179+I180+I181</f>
        <v>2920000</v>
      </c>
      <c r="J178" s="405">
        <f t="shared" si="84"/>
        <v>100000</v>
      </c>
      <c r="K178" s="405">
        <f t="shared" si="84"/>
        <v>2360000</v>
      </c>
      <c r="L178" s="405">
        <f t="shared" si="84"/>
        <v>60000</v>
      </c>
      <c r="M178" s="419">
        <f t="shared" si="84"/>
        <v>400000</v>
      </c>
      <c r="N178" s="113">
        <f t="shared" ref="N178" si="85">N179+N180+N181</f>
        <v>0</v>
      </c>
      <c r="O178" s="443">
        <v>2920000</v>
      </c>
      <c r="P178" s="114">
        <f t="shared" si="63"/>
        <v>0</v>
      </c>
    </row>
    <row r="179" spans="1:16" ht="13.5" thickBot="1" x14ac:dyDescent="0.25">
      <c r="A179" s="978"/>
      <c r="B179" s="71"/>
      <c r="C179" s="71"/>
      <c r="D179" s="71"/>
      <c r="E179" s="71" t="s">
        <v>426</v>
      </c>
      <c r="F179" s="86">
        <v>7812</v>
      </c>
      <c r="G179" s="84">
        <f t="shared" si="83"/>
        <v>133</v>
      </c>
      <c r="H179" s="84"/>
      <c r="I179" s="405">
        <f>SUM(J179:M179)</f>
        <v>2300000</v>
      </c>
      <c r="J179" s="405"/>
      <c r="K179" s="485">
        <v>2300000</v>
      </c>
      <c r="L179" s="405"/>
      <c r="M179" s="419"/>
      <c r="N179" s="113"/>
      <c r="O179" s="443">
        <v>2300000</v>
      </c>
      <c r="P179" s="114">
        <f t="shared" si="63"/>
        <v>0</v>
      </c>
    </row>
    <row r="180" spans="1:16" ht="23.25" thickBot="1" x14ac:dyDescent="0.25">
      <c r="A180" s="978"/>
      <c r="B180" s="71"/>
      <c r="C180" s="71"/>
      <c r="D180" s="71"/>
      <c r="E180" s="71" t="s">
        <v>347</v>
      </c>
      <c r="F180" s="86"/>
      <c r="G180" s="84">
        <f t="shared" si="83"/>
        <v>134</v>
      </c>
      <c r="H180" s="84"/>
      <c r="I180" s="485">
        <f>SUM(J180:M180)</f>
        <v>620000</v>
      </c>
      <c r="J180" s="485">
        <v>100000</v>
      </c>
      <c r="K180" s="485">
        <v>60000</v>
      </c>
      <c r="L180" s="485">
        <v>60000</v>
      </c>
      <c r="M180" s="492">
        <v>400000</v>
      </c>
      <c r="N180" s="113"/>
      <c r="O180" s="710">
        <v>620000</v>
      </c>
      <c r="P180" s="114">
        <f t="shared" si="63"/>
        <v>0</v>
      </c>
    </row>
    <row r="181" spans="1:16" ht="13.5" thickBot="1" x14ac:dyDescent="0.25">
      <c r="A181" s="978"/>
      <c r="B181" s="71"/>
      <c r="C181" s="71"/>
      <c r="D181" s="71"/>
      <c r="E181" s="71" t="s">
        <v>348</v>
      </c>
      <c r="F181" s="86"/>
      <c r="G181" s="84">
        <f t="shared" si="83"/>
        <v>135</v>
      </c>
      <c r="H181" s="84"/>
      <c r="I181" s="405">
        <f>SUM(J181:M181)</f>
        <v>0</v>
      </c>
      <c r="J181" s="405"/>
      <c r="K181" s="405"/>
      <c r="L181" s="405"/>
      <c r="M181" s="419"/>
      <c r="N181" s="113"/>
      <c r="O181" s="443">
        <v>0</v>
      </c>
      <c r="P181" s="114">
        <f t="shared" si="63"/>
        <v>0</v>
      </c>
    </row>
    <row r="182" spans="1:16" ht="13.5" customHeight="1" thickBot="1" x14ac:dyDescent="0.25">
      <c r="A182" s="978"/>
      <c r="B182" s="282" t="s">
        <v>21</v>
      </c>
      <c r="C182" s="282"/>
      <c r="D182" s="1023" t="s">
        <v>471</v>
      </c>
      <c r="E182" s="1025"/>
      <c r="F182" s="292"/>
      <c r="G182" s="284">
        <f t="shared" si="83"/>
        <v>136</v>
      </c>
      <c r="H182" s="284"/>
      <c r="I182" s="415">
        <f>I183+I186+I189</f>
        <v>1810000</v>
      </c>
      <c r="J182" s="415">
        <f>J183+J187+J189</f>
        <v>570000</v>
      </c>
      <c r="K182" s="415">
        <f>K183+K187+K189</f>
        <v>200000</v>
      </c>
      <c r="L182" s="415">
        <f>L183+L187+L189</f>
        <v>755000</v>
      </c>
      <c r="M182" s="416">
        <f>M183+M187+M189</f>
        <v>285000</v>
      </c>
      <c r="N182" s="353">
        <f>N183+N187+N189</f>
        <v>0</v>
      </c>
      <c r="O182" s="700">
        <v>1810000</v>
      </c>
      <c r="P182" s="114">
        <f t="shared" si="63"/>
        <v>0</v>
      </c>
    </row>
    <row r="183" spans="1:16" ht="13.5" customHeight="1" thickBot="1" x14ac:dyDescent="0.25">
      <c r="A183" s="978"/>
      <c r="B183" s="1018"/>
      <c r="C183" s="71" t="s">
        <v>27</v>
      </c>
      <c r="D183" s="973" t="s">
        <v>461</v>
      </c>
      <c r="E183" s="974"/>
      <c r="F183" s="268"/>
      <c r="G183" s="84">
        <f t="shared" si="83"/>
        <v>137</v>
      </c>
      <c r="H183" s="84"/>
      <c r="I183" s="405">
        <f t="shared" ref="I183:M183" si="86">I184+I185</f>
        <v>900000</v>
      </c>
      <c r="J183" s="405">
        <f t="shared" si="86"/>
        <v>400000</v>
      </c>
      <c r="K183" s="405">
        <f t="shared" si="86"/>
        <v>0</v>
      </c>
      <c r="L183" s="405">
        <f t="shared" si="86"/>
        <v>500000</v>
      </c>
      <c r="M183" s="419">
        <f t="shared" si="86"/>
        <v>0</v>
      </c>
      <c r="N183" s="113">
        <f t="shared" ref="N183" si="87">N184+N185</f>
        <v>0</v>
      </c>
      <c r="O183" s="443">
        <v>900000</v>
      </c>
      <c r="P183" s="114">
        <f t="shared" si="63"/>
        <v>0</v>
      </c>
    </row>
    <row r="184" spans="1:16" ht="13.5" thickBot="1" x14ac:dyDescent="0.25">
      <c r="A184" s="978"/>
      <c r="B184" s="1019"/>
      <c r="C184" s="71"/>
      <c r="D184" s="71" t="s">
        <v>237</v>
      </c>
      <c r="E184" s="71" t="s">
        <v>294</v>
      </c>
      <c r="F184" s="86">
        <v>666</v>
      </c>
      <c r="G184" s="84">
        <f t="shared" si="83"/>
        <v>138</v>
      </c>
      <c r="H184" s="84"/>
      <c r="I184" s="405">
        <f>SUM(J184:M184)</f>
        <v>900000</v>
      </c>
      <c r="J184" s="405">
        <v>400000</v>
      </c>
      <c r="K184" s="405"/>
      <c r="L184" s="405">
        <v>500000</v>
      </c>
      <c r="M184" s="419"/>
      <c r="N184" s="113"/>
      <c r="O184" s="443">
        <v>900000</v>
      </c>
      <c r="P184" s="114">
        <f t="shared" si="63"/>
        <v>0</v>
      </c>
    </row>
    <row r="185" spans="1:16" ht="13.5" thickBot="1" x14ac:dyDescent="0.25">
      <c r="A185" s="978"/>
      <c r="B185" s="1019"/>
      <c r="C185" s="71"/>
      <c r="D185" s="71" t="s">
        <v>66</v>
      </c>
      <c r="E185" s="71" t="s">
        <v>349</v>
      </c>
      <c r="F185" s="86"/>
      <c r="G185" s="84">
        <f t="shared" si="83"/>
        <v>139</v>
      </c>
      <c r="H185" s="84"/>
      <c r="I185" s="405">
        <f>SUM(J185:M185)</f>
        <v>0</v>
      </c>
      <c r="J185" s="441"/>
      <c r="K185" s="441"/>
      <c r="L185" s="441"/>
      <c r="M185" s="442"/>
      <c r="N185" s="368"/>
      <c r="O185" s="443">
        <v>0</v>
      </c>
      <c r="P185" s="114">
        <f t="shared" si="63"/>
        <v>0</v>
      </c>
    </row>
    <row r="186" spans="1:16" ht="13.5" customHeight="1" thickBot="1" x14ac:dyDescent="0.25">
      <c r="A186" s="978"/>
      <c r="B186" s="1019"/>
      <c r="C186" s="71" t="s">
        <v>38</v>
      </c>
      <c r="D186" s="973" t="s">
        <v>440</v>
      </c>
      <c r="E186" s="974"/>
      <c r="F186" s="268"/>
      <c r="G186" s="84">
        <f t="shared" si="83"/>
        <v>140</v>
      </c>
      <c r="H186" s="413"/>
      <c r="I186" s="419">
        <f>I187+I188</f>
        <v>660000</v>
      </c>
      <c r="J186" s="443">
        <f t="shared" ref="J186:M186" si="88">SUM(J187:J188)</f>
        <v>120000</v>
      </c>
      <c r="K186" s="443">
        <f t="shared" si="88"/>
        <v>140000</v>
      </c>
      <c r="L186" s="443">
        <f t="shared" si="88"/>
        <v>180000</v>
      </c>
      <c r="M186" s="444">
        <f t="shared" si="88"/>
        <v>220000</v>
      </c>
      <c r="N186" s="693">
        <f>SUM(N187:N188)</f>
        <v>0</v>
      </c>
      <c r="O186" s="443">
        <v>660000</v>
      </c>
      <c r="P186" s="114">
        <f t="shared" si="63"/>
        <v>0</v>
      </c>
    </row>
    <row r="187" spans="1:16" ht="13.5" thickBot="1" x14ac:dyDescent="0.25">
      <c r="A187" s="978"/>
      <c r="B187" s="1019"/>
      <c r="C187" s="71"/>
      <c r="D187" s="71" t="s">
        <v>76</v>
      </c>
      <c r="E187" s="71" t="s">
        <v>294</v>
      </c>
      <c r="F187" s="86">
        <v>665</v>
      </c>
      <c r="G187" s="84">
        <f t="shared" si="83"/>
        <v>141</v>
      </c>
      <c r="H187" s="84"/>
      <c r="I187" s="405">
        <f>SUM(J187:M187)</f>
        <v>660000</v>
      </c>
      <c r="J187" s="445">
        <v>120000</v>
      </c>
      <c r="K187" s="445">
        <v>140000</v>
      </c>
      <c r="L187" s="445">
        <v>180000</v>
      </c>
      <c r="M187" s="445">
        <v>220000</v>
      </c>
      <c r="N187" s="370"/>
      <c r="O187" s="443">
        <v>660000</v>
      </c>
      <c r="P187" s="114">
        <f t="shared" si="63"/>
        <v>0</v>
      </c>
    </row>
    <row r="188" spans="1:16" ht="13.5" thickBot="1" x14ac:dyDescent="0.25">
      <c r="A188" s="978"/>
      <c r="B188" s="1019"/>
      <c r="C188" s="71"/>
      <c r="D188" s="71" t="s">
        <v>99</v>
      </c>
      <c r="E188" s="71" t="s">
        <v>295</v>
      </c>
      <c r="F188" s="86"/>
      <c r="G188" s="84">
        <f t="shared" si="83"/>
        <v>142</v>
      </c>
      <c r="H188" s="84"/>
      <c r="I188" s="405">
        <f>SUM(J188:M188)</f>
        <v>0</v>
      </c>
      <c r="J188" s="405"/>
      <c r="K188" s="405"/>
      <c r="L188" s="405"/>
      <c r="M188" s="419"/>
      <c r="N188" s="113"/>
      <c r="O188" s="443">
        <v>0</v>
      </c>
      <c r="P188" s="114">
        <f t="shared" si="63"/>
        <v>0</v>
      </c>
    </row>
    <row r="189" spans="1:16" ht="13.5" customHeight="1" thickBot="1" x14ac:dyDescent="0.25">
      <c r="A189" s="978"/>
      <c r="B189" s="1020"/>
      <c r="C189" s="71" t="s">
        <v>40</v>
      </c>
      <c r="D189" s="973" t="s">
        <v>296</v>
      </c>
      <c r="E189" s="974"/>
      <c r="F189" s="268">
        <v>668</v>
      </c>
      <c r="G189" s="84">
        <f t="shared" si="83"/>
        <v>143</v>
      </c>
      <c r="H189" s="84"/>
      <c r="I189" s="405">
        <f>SUM(J189:M189)</f>
        <v>250000</v>
      </c>
      <c r="J189" s="405">
        <v>50000</v>
      </c>
      <c r="K189" s="405">
        <v>60000</v>
      </c>
      <c r="L189" s="405">
        <v>75000</v>
      </c>
      <c r="M189" s="419">
        <v>65000</v>
      </c>
      <c r="N189" s="113"/>
      <c r="O189" s="443">
        <v>250000</v>
      </c>
      <c r="P189" s="114">
        <f t="shared" si="63"/>
        <v>0</v>
      </c>
    </row>
    <row r="190" spans="1:16" ht="13.5" customHeight="1" thickBot="1" x14ac:dyDescent="0.25">
      <c r="A190" s="979"/>
      <c r="B190" s="71" t="s">
        <v>17</v>
      </c>
      <c r="C190" s="319"/>
      <c r="D190" s="1041" t="s">
        <v>129</v>
      </c>
      <c r="E190" s="1042"/>
      <c r="F190" s="320"/>
      <c r="G190" s="84">
        <f t="shared" si="83"/>
        <v>144</v>
      </c>
      <c r="H190" s="84"/>
      <c r="I190" s="405">
        <f>SUM(J190:M190)</f>
        <v>0</v>
      </c>
      <c r="J190" s="447"/>
      <c r="K190" s="447"/>
      <c r="L190" s="447"/>
      <c r="M190" s="448"/>
      <c r="N190" s="371"/>
      <c r="O190" s="443">
        <v>0</v>
      </c>
      <c r="P190" s="114">
        <f t="shared" si="63"/>
        <v>0</v>
      </c>
    </row>
    <row r="191" spans="1:16" ht="13.5" customHeight="1" thickBot="1" x14ac:dyDescent="0.25">
      <c r="A191" s="87" t="s">
        <v>130</v>
      </c>
      <c r="B191" s="321"/>
      <c r="C191" s="321"/>
      <c r="D191" s="1023" t="s">
        <v>441</v>
      </c>
      <c r="E191" s="1025"/>
      <c r="F191" s="292"/>
      <c r="G191" s="284">
        <f t="shared" si="83"/>
        <v>145</v>
      </c>
      <c r="H191" s="284"/>
      <c r="I191" s="415">
        <f t="shared" ref="I191:M191" si="89">I10-I41</f>
        <v>11808091.22014001</v>
      </c>
      <c r="J191" s="415">
        <f t="shared" si="89"/>
        <v>5839677.3977999985</v>
      </c>
      <c r="K191" s="415">
        <f t="shared" si="89"/>
        <v>5308845.7018599994</v>
      </c>
      <c r="L191" s="415">
        <f t="shared" si="89"/>
        <v>2407790.3346799985</v>
      </c>
      <c r="M191" s="416">
        <f t="shared" si="89"/>
        <v>-1748222.2141999975</v>
      </c>
      <c r="N191" s="353">
        <f t="shared" ref="N191" si="90">N10-N41</f>
        <v>0</v>
      </c>
      <c r="O191" s="700">
        <v>17323091.22014001</v>
      </c>
      <c r="P191" s="732">
        <f t="shared" si="63"/>
        <v>-5515000</v>
      </c>
    </row>
    <row r="192" spans="1:16" ht="13.5" thickBot="1" x14ac:dyDescent="0.25">
      <c r="A192" s="87"/>
      <c r="B192" s="321"/>
      <c r="C192" s="321"/>
      <c r="D192" s="322"/>
      <c r="E192" s="322" t="s">
        <v>421</v>
      </c>
      <c r="F192" s="323"/>
      <c r="G192" s="121">
        <v>146</v>
      </c>
      <c r="H192" s="408"/>
      <c r="I192" s="449">
        <f>SUM(J192:M192)</f>
        <v>2920000</v>
      </c>
      <c r="J192" s="449">
        <f t="shared" ref="J192:M192" si="91">J177</f>
        <v>100000</v>
      </c>
      <c r="K192" s="449">
        <f t="shared" si="91"/>
        <v>2360000</v>
      </c>
      <c r="L192" s="449">
        <f t="shared" si="91"/>
        <v>60000</v>
      </c>
      <c r="M192" s="450">
        <f t="shared" si="91"/>
        <v>400000</v>
      </c>
      <c r="N192" s="372">
        <f t="shared" ref="N192" si="92">N177</f>
        <v>0</v>
      </c>
      <c r="O192" s="720">
        <v>2920000</v>
      </c>
      <c r="P192" s="732">
        <f t="shared" si="63"/>
        <v>0</v>
      </c>
    </row>
    <row r="193" spans="1:16" ht="13.5" thickBot="1" x14ac:dyDescent="0.25">
      <c r="A193" s="84"/>
      <c r="B193" s="71"/>
      <c r="C193" s="71"/>
      <c r="D193" s="322"/>
      <c r="E193" s="322" t="s">
        <v>297</v>
      </c>
      <c r="F193" s="323"/>
      <c r="G193" s="121">
        <v>147</v>
      </c>
      <c r="H193" s="408"/>
      <c r="I193" s="449">
        <f>SUM(J193:M193)</f>
        <v>4300000</v>
      </c>
      <c r="J193" s="496">
        <f>J174</f>
        <v>0</v>
      </c>
      <c r="K193" s="496">
        <f>K174</f>
        <v>0</v>
      </c>
      <c r="L193" s="496">
        <f>L174</f>
        <v>0</v>
      </c>
      <c r="M193" s="496">
        <f>M174</f>
        <v>4300000</v>
      </c>
      <c r="N193" s="694">
        <f>N173</f>
        <v>0</v>
      </c>
      <c r="O193" s="720">
        <v>4300000</v>
      </c>
      <c r="P193" s="732">
        <f t="shared" si="63"/>
        <v>0</v>
      </c>
    </row>
    <row r="194" spans="1:16" ht="13.5" customHeight="1" thickBot="1" x14ac:dyDescent="0.25">
      <c r="A194" s="87" t="s">
        <v>132</v>
      </c>
      <c r="B194" s="321"/>
      <c r="C194" s="321"/>
      <c r="D194" s="1023" t="s">
        <v>133</v>
      </c>
      <c r="E194" s="1025"/>
      <c r="F194" s="292"/>
      <c r="G194" s="284">
        <f t="shared" si="83"/>
        <v>148</v>
      </c>
      <c r="H194" s="497"/>
      <c r="I194" s="498">
        <f>SUM(J194:M194)</f>
        <v>2199694.5952223996</v>
      </c>
      <c r="J194" s="499">
        <f>(J191+J193)*16%</f>
        <v>934348.38364799973</v>
      </c>
      <c r="K194" s="499">
        <f>(K191-K192-K193)*16%</f>
        <v>471815.31229759991</v>
      </c>
      <c r="L194" s="499">
        <f>(L191+L193)*16%</f>
        <v>385246.45354879973</v>
      </c>
      <c r="M194" s="500">
        <f>(M191+M193)*16%</f>
        <v>408284.44572800043</v>
      </c>
      <c r="N194" s="353">
        <f>(N191+N193)*16%</f>
        <v>0</v>
      </c>
      <c r="O194" s="721">
        <v>3082094.5952223996</v>
      </c>
      <c r="P194" s="732">
        <f t="shared" si="63"/>
        <v>-882400</v>
      </c>
    </row>
    <row r="195" spans="1:16" ht="12.75" customHeight="1" x14ac:dyDescent="0.2">
      <c r="A195" s="326" t="s">
        <v>134</v>
      </c>
      <c r="B195" s="330"/>
      <c r="C195" s="331"/>
      <c r="D195" s="1043" t="s">
        <v>422</v>
      </c>
      <c r="E195" s="1044"/>
      <c r="F195" s="338"/>
      <c r="G195" s="339">
        <v>149</v>
      </c>
      <c r="H195" s="339"/>
      <c r="I195" s="340"/>
      <c r="J195" s="340"/>
      <c r="K195" s="340"/>
      <c r="L195" s="340"/>
      <c r="M195" s="373"/>
      <c r="N195" s="695"/>
      <c r="O195" s="122"/>
      <c r="P195" s="114">
        <f t="shared" si="63"/>
        <v>0</v>
      </c>
    </row>
    <row r="196" spans="1:16" ht="12.75" customHeight="1" x14ac:dyDescent="0.2">
      <c r="A196" s="327" t="s">
        <v>141</v>
      </c>
      <c r="B196" s="332"/>
      <c r="C196" s="333"/>
      <c r="D196" s="1035" t="s">
        <v>423</v>
      </c>
      <c r="E196" s="1036"/>
      <c r="F196" s="325"/>
      <c r="G196" s="121">
        <v>150</v>
      </c>
      <c r="H196" s="121"/>
      <c r="I196" s="122"/>
      <c r="J196" s="122"/>
      <c r="K196" s="122"/>
      <c r="L196" s="122"/>
      <c r="M196" s="374"/>
      <c r="N196" s="696"/>
      <c r="O196" s="122"/>
      <c r="P196" s="114">
        <f t="shared" si="63"/>
        <v>0</v>
      </c>
    </row>
    <row r="197" spans="1:16" ht="12.75" customHeight="1" x14ac:dyDescent="0.2">
      <c r="A197" s="328" t="s">
        <v>143</v>
      </c>
      <c r="B197" s="334"/>
      <c r="C197" s="335"/>
      <c r="D197" s="1037" t="s">
        <v>424</v>
      </c>
      <c r="E197" s="1038"/>
      <c r="F197" s="271"/>
      <c r="G197" s="251">
        <v>151</v>
      </c>
      <c r="H197" s="251"/>
      <c r="I197" s="252"/>
      <c r="J197" s="252"/>
      <c r="K197" s="252"/>
      <c r="L197" s="252"/>
      <c r="M197" s="375"/>
      <c r="N197" s="697"/>
      <c r="O197" s="122"/>
      <c r="P197" s="114">
        <f t="shared" si="63"/>
        <v>0</v>
      </c>
    </row>
    <row r="198" spans="1:16" ht="12.75" customHeight="1" thickBot="1" x14ac:dyDescent="0.25">
      <c r="A198" s="329" t="s">
        <v>150</v>
      </c>
      <c r="B198" s="336"/>
      <c r="C198" s="337"/>
      <c r="D198" s="1039" t="s">
        <v>425</v>
      </c>
      <c r="E198" s="1040"/>
      <c r="F198" s="341"/>
      <c r="G198" s="342">
        <v>152</v>
      </c>
      <c r="H198" s="342"/>
      <c r="I198" s="343"/>
      <c r="J198" s="343"/>
      <c r="K198" s="343"/>
      <c r="L198" s="343"/>
      <c r="M198" s="376"/>
      <c r="N198" s="698"/>
      <c r="O198" s="122"/>
      <c r="P198" s="114">
        <f t="shared" si="63"/>
        <v>0</v>
      </c>
    </row>
  </sheetData>
  <mergeCells count="120">
    <mergeCell ref="A8:B8"/>
    <mergeCell ref="B10:E10"/>
    <mergeCell ref="A11:A40"/>
    <mergeCell ref="C11:E11"/>
    <mergeCell ref="B12:B25"/>
    <mergeCell ref="D12:E12"/>
    <mergeCell ref="D20:E20"/>
    <mergeCell ref="D21:E21"/>
    <mergeCell ref="C22:C23"/>
    <mergeCell ref="D24:E24"/>
    <mergeCell ref="D25:E25"/>
    <mergeCell ref="D26:E26"/>
    <mergeCell ref="D34:E34"/>
    <mergeCell ref="B35:B39"/>
    <mergeCell ref="D35:E35"/>
    <mergeCell ref="D36:E36"/>
    <mergeCell ref="D37:E37"/>
    <mergeCell ref="D38:E38"/>
    <mergeCell ref="D39:E39"/>
    <mergeCell ref="D40:E40"/>
    <mergeCell ref="B41:E41"/>
    <mergeCell ref="A42:A70"/>
    <mergeCell ref="C42:E42"/>
    <mergeCell ref="B43:B70"/>
    <mergeCell ref="C43:E43"/>
    <mergeCell ref="D44:E44"/>
    <mergeCell ref="D45:E45"/>
    <mergeCell ref="D46:E46"/>
    <mergeCell ref="D57:E57"/>
    <mergeCell ref="D58:E58"/>
    <mergeCell ref="D64:E64"/>
    <mergeCell ref="D65:E65"/>
    <mergeCell ref="D66:E66"/>
    <mergeCell ref="D70:E70"/>
    <mergeCell ref="A71:A119"/>
    <mergeCell ref="B71:B119"/>
    <mergeCell ref="D74:E74"/>
    <mergeCell ref="D75:E75"/>
    <mergeCell ref="D76:E76"/>
    <mergeCell ref="D93:E93"/>
    <mergeCell ref="D94:E94"/>
    <mergeCell ref="D95:E95"/>
    <mergeCell ref="D96:E96"/>
    <mergeCell ref="D97:E97"/>
    <mergeCell ref="D98:E98"/>
    <mergeCell ref="D77:E77"/>
    <mergeCell ref="D78:E78"/>
    <mergeCell ref="D79:E79"/>
    <mergeCell ref="D86:E86"/>
    <mergeCell ref="D91:E91"/>
    <mergeCell ref="D92:E92"/>
    <mergeCell ref="A120:A169"/>
    <mergeCell ref="B120:B169"/>
    <mergeCell ref="D120:E120"/>
    <mergeCell ref="D121:E121"/>
    <mergeCell ref="C131:E131"/>
    <mergeCell ref="D132:E132"/>
    <mergeCell ref="D133:E133"/>
    <mergeCell ref="D99:E99"/>
    <mergeCell ref="D100:E100"/>
    <mergeCell ref="D101:E101"/>
    <mergeCell ref="D110:E110"/>
    <mergeCell ref="C115:E115"/>
    <mergeCell ref="D116:E116"/>
    <mergeCell ref="C134:C136"/>
    <mergeCell ref="D134:E134"/>
    <mergeCell ref="D135:E135"/>
    <mergeCell ref="D136:E136"/>
    <mergeCell ref="D137:E137"/>
    <mergeCell ref="D138:E138"/>
    <mergeCell ref="D117:E117"/>
    <mergeCell ref="D118:E118"/>
    <mergeCell ref="D119:E119"/>
    <mergeCell ref="D147:E147"/>
    <mergeCell ref="D148:E148"/>
    <mergeCell ref="D149:E149"/>
    <mergeCell ref="C150:C156"/>
    <mergeCell ref="D150:E150"/>
    <mergeCell ref="D153:E153"/>
    <mergeCell ref="D156:E156"/>
    <mergeCell ref="D141:E141"/>
    <mergeCell ref="D142:E142"/>
    <mergeCell ref="D143:E143"/>
    <mergeCell ref="D144:E144"/>
    <mergeCell ref="D145:E145"/>
    <mergeCell ref="D146:E146"/>
    <mergeCell ref="C165:E165"/>
    <mergeCell ref="D166:E166"/>
    <mergeCell ref="D167:E167"/>
    <mergeCell ref="D168:E168"/>
    <mergeCell ref="D157:E157"/>
    <mergeCell ref="D158:E158"/>
    <mergeCell ref="D159:E159"/>
    <mergeCell ref="D160:E160"/>
    <mergeCell ref="D161:E161"/>
    <mergeCell ref="D162:E162"/>
    <mergeCell ref="D196:E196"/>
    <mergeCell ref="D197:E197"/>
    <mergeCell ref="D198:E198"/>
    <mergeCell ref="A2:D2"/>
    <mergeCell ref="A3:D3"/>
    <mergeCell ref="A1:D1"/>
    <mergeCell ref="D186:E186"/>
    <mergeCell ref="D189:E189"/>
    <mergeCell ref="D190:E190"/>
    <mergeCell ref="D191:E191"/>
    <mergeCell ref="D194:E194"/>
    <mergeCell ref="D195:E195"/>
    <mergeCell ref="D169:E169"/>
    <mergeCell ref="A170:A190"/>
    <mergeCell ref="B170:B173"/>
    <mergeCell ref="D170:E170"/>
    <mergeCell ref="D171:E171"/>
    <mergeCell ref="D172:E172"/>
    <mergeCell ref="D173:E173"/>
    <mergeCell ref="D182:E182"/>
    <mergeCell ref="B183:B189"/>
    <mergeCell ref="D183:E183"/>
    <mergeCell ref="D163:E163"/>
    <mergeCell ref="D164:E16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8"/>
  <sheetViews>
    <sheetView topLeftCell="A115" workbookViewId="0">
      <selection activeCell="K117" sqref="K117"/>
    </sheetView>
  </sheetViews>
  <sheetFormatPr defaultRowHeight="12.75" x14ac:dyDescent="0.2"/>
  <cols>
    <col min="1" max="1" width="3.42578125" bestFit="1" customWidth="1"/>
    <col min="2" max="2" width="1.85546875" bestFit="1" customWidth="1"/>
    <col min="3" max="3" width="3" bestFit="1" customWidth="1"/>
    <col min="4" max="4" width="4.7109375" bestFit="1" customWidth="1"/>
    <col min="5" max="5" width="48" customWidth="1"/>
    <col min="6" max="6" width="15.85546875" customWidth="1"/>
    <col min="7" max="7" width="4.42578125" bestFit="1" customWidth="1"/>
    <col min="8" max="8" width="7.28515625" customWidth="1"/>
    <col min="9" max="12" width="10.42578125" bestFit="1" customWidth="1"/>
    <col min="13" max="13" width="8.7109375" bestFit="1" customWidth="1"/>
    <col min="14" max="14" width="11.7109375" customWidth="1"/>
  </cols>
  <sheetData>
    <row r="1" spans="1:14" x14ac:dyDescent="0.2">
      <c r="A1" s="938" t="s">
        <v>0</v>
      </c>
      <c r="B1" s="938"/>
      <c r="C1" s="938"/>
      <c r="D1" s="938"/>
      <c r="E1" s="1" t="s">
        <v>671</v>
      </c>
    </row>
    <row r="2" spans="1:14" x14ac:dyDescent="0.2">
      <c r="A2" s="83"/>
      <c r="B2" s="83"/>
      <c r="C2" s="83"/>
      <c r="D2" s="83"/>
      <c r="E2" s="272"/>
      <c r="F2" s="272"/>
      <c r="G2" s="51"/>
      <c r="H2" s="51"/>
      <c r="I2" s="51"/>
      <c r="J2" s="51"/>
      <c r="K2" s="53" t="s">
        <v>11</v>
      </c>
      <c r="L2" s="51"/>
      <c r="M2" s="51"/>
    </row>
    <row r="3" spans="1:14" x14ac:dyDescent="0.2">
      <c r="A3" s="938"/>
      <c r="B3" s="938"/>
      <c r="C3" s="938"/>
      <c r="D3" s="938"/>
      <c r="E3" s="272"/>
      <c r="F3" s="272"/>
      <c r="G3" s="51"/>
      <c r="H3" s="51"/>
      <c r="I3" s="51"/>
      <c r="J3" s="51"/>
      <c r="K3" s="51"/>
      <c r="L3" s="51"/>
      <c r="M3" s="51"/>
    </row>
    <row r="4" spans="1:14" x14ac:dyDescent="0.2">
      <c r="A4" s="272"/>
      <c r="B4" s="272"/>
      <c r="C4" s="272"/>
      <c r="D4" s="51"/>
      <c r="E4" s="1047" t="s">
        <v>3</v>
      </c>
      <c r="F4" s="1047"/>
      <c r="G4" s="1047"/>
      <c r="H4" s="1047"/>
      <c r="I4" s="1047"/>
      <c r="J4" s="1047"/>
      <c r="K4" s="83"/>
      <c r="L4" s="83"/>
      <c r="M4" s="51">
        <v>1000</v>
      </c>
    </row>
    <row r="5" spans="1:14" x14ac:dyDescent="0.2">
      <c r="A5" s="272"/>
      <c r="B5" s="272"/>
      <c r="C5" s="272"/>
      <c r="D5" s="83"/>
      <c r="E5" s="1048" t="s">
        <v>657</v>
      </c>
      <c r="F5" s="1048"/>
      <c r="G5" s="1048"/>
      <c r="H5" s="1048"/>
      <c r="I5" s="1048"/>
      <c r="J5" s="1048"/>
      <c r="K5" s="83"/>
      <c r="L5" s="51"/>
      <c r="M5" s="51"/>
    </row>
    <row r="6" spans="1:14" x14ac:dyDescent="0.2">
      <c r="A6" s="272"/>
      <c r="B6" s="272"/>
      <c r="C6" s="272"/>
      <c r="D6" s="83"/>
      <c r="E6" s="83"/>
      <c r="F6" s="83"/>
      <c r="G6" s="83"/>
      <c r="H6" s="83"/>
      <c r="I6" s="83"/>
      <c r="J6" s="83"/>
      <c r="K6" s="83"/>
      <c r="L6" s="51"/>
      <c r="M6" s="51"/>
    </row>
    <row r="7" spans="1:14" ht="13.5" thickBot="1" x14ac:dyDescent="0.25">
      <c r="A7" s="272"/>
      <c r="B7" s="272"/>
      <c r="C7" s="272"/>
      <c r="D7" s="83"/>
      <c r="E7" s="272"/>
      <c r="F7" s="272"/>
      <c r="G7" s="83"/>
      <c r="H7" s="83"/>
      <c r="I7" s="83"/>
      <c r="J7" s="83"/>
      <c r="K7" s="83"/>
      <c r="L7" s="51"/>
      <c r="M7" s="51"/>
    </row>
    <row r="8" spans="1:14" ht="23.25" thickBot="1" x14ac:dyDescent="0.25">
      <c r="A8" s="980" t="s">
        <v>308</v>
      </c>
      <c r="B8" s="981"/>
      <c r="C8" s="84"/>
      <c r="D8" s="84"/>
      <c r="E8" s="85" t="s">
        <v>15</v>
      </c>
      <c r="F8" s="85" t="s">
        <v>551</v>
      </c>
      <c r="G8" s="84" t="s">
        <v>309</v>
      </c>
      <c r="H8" s="84"/>
      <c r="I8" s="86" t="s">
        <v>661</v>
      </c>
      <c r="J8" s="84" t="s">
        <v>310</v>
      </c>
      <c r="K8" s="84" t="s">
        <v>311</v>
      </c>
      <c r="L8" s="84" t="s">
        <v>312</v>
      </c>
      <c r="M8" s="273" t="s">
        <v>313</v>
      </c>
      <c r="N8" s="379" t="s">
        <v>658</v>
      </c>
    </row>
    <row r="9" spans="1:14" ht="13.5" thickBot="1" x14ac:dyDescent="0.25">
      <c r="A9" s="84" t="s">
        <v>30</v>
      </c>
      <c r="B9" s="84"/>
      <c r="C9" s="84"/>
      <c r="D9" s="84"/>
      <c r="E9" s="85" t="s">
        <v>4</v>
      </c>
      <c r="F9" s="281"/>
      <c r="G9" s="84" t="s">
        <v>314</v>
      </c>
      <c r="H9" s="84"/>
      <c r="I9" s="84" t="s">
        <v>21</v>
      </c>
      <c r="J9" s="84" t="s">
        <v>17</v>
      </c>
      <c r="K9" s="84" t="s">
        <v>18</v>
      </c>
      <c r="L9" s="84" t="s">
        <v>24</v>
      </c>
      <c r="M9" s="273" t="s">
        <v>19</v>
      </c>
      <c r="N9" s="388">
        <v>7</v>
      </c>
    </row>
    <row r="10" spans="1:14" ht="13.5" thickBot="1" x14ac:dyDescent="0.25">
      <c r="A10" s="87" t="s">
        <v>215</v>
      </c>
      <c r="B10" s="968" t="s">
        <v>462</v>
      </c>
      <c r="C10" s="1011"/>
      <c r="D10" s="1011"/>
      <c r="E10" s="969"/>
      <c r="F10" s="274"/>
      <c r="G10" s="87" t="s">
        <v>4</v>
      </c>
      <c r="H10" s="87"/>
      <c r="I10" s="88">
        <f t="shared" ref="I10:M10" si="0">I11+I34+I40</f>
        <v>2539845.42</v>
      </c>
      <c r="J10" s="88">
        <f t="shared" si="0"/>
        <v>561957.32999999996</v>
      </c>
      <c r="K10" s="88">
        <f t="shared" si="0"/>
        <v>655031.76</v>
      </c>
      <c r="L10" s="88">
        <f t="shared" si="0"/>
        <v>715457.15</v>
      </c>
      <c r="M10" s="353">
        <f t="shared" si="0"/>
        <v>607399.18000000005</v>
      </c>
      <c r="N10" s="88">
        <f t="shared" ref="N10" si="1">N11+N34+N40</f>
        <v>0</v>
      </c>
    </row>
    <row r="11" spans="1:14" ht="13.5" thickBot="1" x14ac:dyDescent="0.25">
      <c r="A11" s="977"/>
      <c r="B11" s="282" t="s">
        <v>4</v>
      </c>
      <c r="C11" s="1015" t="s">
        <v>113</v>
      </c>
      <c r="D11" s="1016"/>
      <c r="E11" s="1017"/>
      <c r="F11" s="283"/>
      <c r="G11" s="284">
        <f>G10+1</f>
        <v>2</v>
      </c>
      <c r="H11" s="284"/>
      <c r="I11" s="285">
        <f t="shared" ref="I11:M11" si="2">I12+I20+I21+I24+I25+I26</f>
        <v>2539845.42</v>
      </c>
      <c r="J11" s="285">
        <f t="shared" si="2"/>
        <v>561957.32999999996</v>
      </c>
      <c r="K11" s="285">
        <f t="shared" si="2"/>
        <v>655031.76</v>
      </c>
      <c r="L11" s="285">
        <f t="shared" si="2"/>
        <v>715457.15</v>
      </c>
      <c r="M11" s="285">
        <f t="shared" si="2"/>
        <v>607399.18000000005</v>
      </c>
      <c r="N11" s="285">
        <f t="shared" ref="N11" si="3">N12+N20+N21+N24+N25+N26</f>
        <v>0</v>
      </c>
    </row>
    <row r="12" spans="1:14" ht="13.5" thickBot="1" x14ac:dyDescent="0.25">
      <c r="A12" s="978"/>
      <c r="B12" s="1018"/>
      <c r="C12" s="71" t="s">
        <v>27</v>
      </c>
      <c r="D12" s="973" t="s">
        <v>315</v>
      </c>
      <c r="E12" s="974"/>
      <c r="F12" s="275">
        <v>70</v>
      </c>
      <c r="G12" s="84">
        <f>G11+1</f>
        <v>3</v>
      </c>
      <c r="H12" s="84"/>
      <c r="I12" s="89">
        <f t="shared" ref="I12:M12" si="4">I13+I14+I18+I19</f>
        <v>2507275.42</v>
      </c>
      <c r="J12" s="89">
        <f t="shared" si="4"/>
        <v>554017.32999999996</v>
      </c>
      <c r="K12" s="89">
        <f t="shared" si="4"/>
        <v>647091.76</v>
      </c>
      <c r="L12" s="89">
        <f t="shared" si="4"/>
        <v>707417.15</v>
      </c>
      <c r="M12" s="113">
        <f t="shared" si="4"/>
        <v>598749.18000000005</v>
      </c>
      <c r="N12" s="89">
        <f t="shared" ref="N12" si="5">N13+N14+N18+N19</f>
        <v>0</v>
      </c>
    </row>
    <row r="13" spans="1:14" ht="13.5" thickBot="1" x14ac:dyDescent="0.25">
      <c r="A13" s="978"/>
      <c r="B13" s="1019"/>
      <c r="C13" s="71"/>
      <c r="D13" s="71" t="s">
        <v>237</v>
      </c>
      <c r="E13" s="71" t="s">
        <v>316</v>
      </c>
      <c r="F13" s="86"/>
      <c r="G13" s="84">
        <f t="shared" ref="G13:G76" si="6">G12+1</f>
        <v>4</v>
      </c>
      <c r="H13" s="84"/>
      <c r="I13" s="89">
        <f t="shared" ref="I13:I19" si="7">SUM(J13:M13)</f>
        <v>0</v>
      </c>
      <c r="J13" s="89"/>
      <c r="K13" s="89"/>
      <c r="L13" s="89"/>
      <c r="M13" s="113"/>
      <c r="N13" s="89"/>
    </row>
    <row r="14" spans="1:14" ht="13.5" thickBot="1" x14ac:dyDescent="0.25">
      <c r="A14" s="978"/>
      <c r="B14" s="1019"/>
      <c r="C14" s="71"/>
      <c r="D14" s="71" t="s">
        <v>66</v>
      </c>
      <c r="E14" s="71" t="s">
        <v>317</v>
      </c>
      <c r="F14" s="86">
        <v>704</v>
      </c>
      <c r="G14" s="84">
        <f>G13+1</f>
        <v>5</v>
      </c>
      <c r="H14" s="84"/>
      <c r="I14" s="89">
        <f t="shared" si="7"/>
        <v>2507275.42</v>
      </c>
      <c r="J14" s="93">
        <f t="shared" ref="J14:M14" si="8">SUM(J15:J17)</f>
        <v>554017.32999999996</v>
      </c>
      <c r="K14" s="93">
        <f t="shared" si="8"/>
        <v>647091.76</v>
      </c>
      <c r="L14" s="93">
        <f t="shared" si="8"/>
        <v>707417.15</v>
      </c>
      <c r="M14" s="93">
        <f t="shared" si="8"/>
        <v>598749.18000000005</v>
      </c>
      <c r="N14" s="91"/>
    </row>
    <row r="15" spans="1:14" ht="13.5" thickBot="1" x14ac:dyDescent="0.25">
      <c r="A15" s="978"/>
      <c r="B15" s="1019"/>
      <c r="C15" s="71"/>
      <c r="D15" s="71"/>
      <c r="E15" s="71"/>
      <c r="F15" s="286" t="s">
        <v>552</v>
      </c>
      <c r="G15" s="84"/>
      <c r="H15" s="84"/>
      <c r="I15" s="89">
        <f t="shared" si="7"/>
        <v>2137783.13</v>
      </c>
      <c r="J15" s="93">
        <v>469701.63</v>
      </c>
      <c r="K15" s="93">
        <v>559233.56000000006</v>
      </c>
      <c r="L15" s="93">
        <v>605031.35</v>
      </c>
      <c r="M15" s="358">
        <v>503816.59</v>
      </c>
      <c r="N15" s="91"/>
    </row>
    <row r="16" spans="1:14" ht="13.5" thickBot="1" x14ac:dyDescent="0.25">
      <c r="A16" s="978"/>
      <c r="B16" s="1019"/>
      <c r="C16" s="71"/>
      <c r="D16" s="71"/>
      <c r="E16" s="71"/>
      <c r="F16" s="286" t="s">
        <v>553</v>
      </c>
      <c r="G16" s="84"/>
      <c r="H16" s="84"/>
      <c r="I16" s="89">
        <f t="shared" si="7"/>
        <v>368532.29000000004</v>
      </c>
      <c r="J16" s="93">
        <v>84075.7</v>
      </c>
      <c r="K16" s="93">
        <v>87618.2</v>
      </c>
      <c r="L16" s="93">
        <v>102145.8</v>
      </c>
      <c r="M16" s="358">
        <v>94692.59</v>
      </c>
      <c r="N16" s="91"/>
    </row>
    <row r="17" spans="1:14" ht="13.5" thickBot="1" x14ac:dyDescent="0.25">
      <c r="A17" s="978"/>
      <c r="B17" s="1019"/>
      <c r="C17" s="71"/>
      <c r="D17" s="71"/>
      <c r="E17" s="71"/>
      <c r="F17" s="286" t="s">
        <v>554</v>
      </c>
      <c r="G17" s="84"/>
      <c r="H17" s="84"/>
      <c r="I17" s="89">
        <f t="shared" si="7"/>
        <v>960</v>
      </c>
      <c r="J17" s="93">
        <v>240</v>
      </c>
      <c r="K17" s="93">
        <v>240</v>
      </c>
      <c r="L17" s="93">
        <v>240</v>
      </c>
      <c r="M17" s="358">
        <v>240</v>
      </c>
      <c r="N17" s="91"/>
    </row>
    <row r="18" spans="1:14" ht="13.5" thickBot="1" x14ac:dyDescent="0.25">
      <c r="A18" s="978"/>
      <c r="B18" s="1019"/>
      <c r="C18" s="71"/>
      <c r="D18" s="71" t="s">
        <v>318</v>
      </c>
      <c r="E18" s="71" t="s">
        <v>319</v>
      </c>
      <c r="F18" s="86" t="s">
        <v>555</v>
      </c>
      <c r="G18" s="84">
        <f>G14+1</f>
        <v>6</v>
      </c>
      <c r="H18" s="84"/>
      <c r="I18" s="287">
        <f t="shared" si="7"/>
        <v>0</v>
      </c>
      <c r="J18" s="288"/>
      <c r="K18" s="288"/>
      <c r="L18" s="288"/>
      <c r="M18" s="356"/>
      <c r="N18" s="289"/>
    </row>
    <row r="19" spans="1:14" ht="23.25" thickBot="1" x14ac:dyDescent="0.25">
      <c r="A19" s="978"/>
      <c r="B19" s="1019"/>
      <c r="C19" s="71"/>
      <c r="D19" s="71" t="s">
        <v>320</v>
      </c>
      <c r="E19" s="71" t="s">
        <v>321</v>
      </c>
      <c r="F19" s="86" t="s">
        <v>556</v>
      </c>
      <c r="G19" s="84">
        <f t="shared" si="6"/>
        <v>7</v>
      </c>
      <c r="H19" s="84"/>
      <c r="I19" s="287">
        <f t="shared" si="7"/>
        <v>0</v>
      </c>
      <c r="J19" s="288"/>
      <c r="K19" s="288"/>
      <c r="L19" s="288"/>
      <c r="M19" s="356"/>
      <c r="N19" s="289"/>
    </row>
    <row r="20" spans="1:14" ht="13.5" thickBot="1" x14ac:dyDescent="0.25">
      <c r="A20" s="978"/>
      <c r="B20" s="1019"/>
      <c r="C20" s="71" t="s">
        <v>38</v>
      </c>
      <c r="D20" s="973" t="s">
        <v>322</v>
      </c>
      <c r="E20" s="974"/>
      <c r="F20" s="275"/>
      <c r="G20" s="84">
        <f t="shared" si="6"/>
        <v>8</v>
      </c>
      <c r="H20" s="84"/>
      <c r="I20" s="89"/>
      <c r="J20" s="89"/>
      <c r="K20" s="89"/>
      <c r="L20" s="89"/>
      <c r="M20" s="113"/>
      <c r="N20" s="89"/>
    </row>
    <row r="21" spans="1:14" ht="26.25" customHeight="1" thickBot="1" x14ac:dyDescent="0.25">
      <c r="A21" s="978"/>
      <c r="B21" s="1019"/>
      <c r="C21" s="71" t="s">
        <v>40</v>
      </c>
      <c r="D21" s="973" t="s">
        <v>323</v>
      </c>
      <c r="E21" s="974"/>
      <c r="F21" s="275"/>
      <c r="G21" s="84">
        <f t="shared" si="6"/>
        <v>9</v>
      </c>
      <c r="H21" s="84"/>
      <c r="I21" s="89">
        <f t="shared" ref="I21:M21" si="9">I22+I23</f>
        <v>0</v>
      </c>
      <c r="J21" s="89">
        <f t="shared" si="9"/>
        <v>0</v>
      </c>
      <c r="K21" s="89">
        <f t="shared" si="9"/>
        <v>0</v>
      </c>
      <c r="L21" s="89">
        <f t="shared" si="9"/>
        <v>0</v>
      </c>
      <c r="M21" s="113">
        <f t="shared" si="9"/>
        <v>0</v>
      </c>
      <c r="N21" s="89">
        <f t="shared" ref="N21" si="10">N22+N23</f>
        <v>0</v>
      </c>
    </row>
    <row r="22" spans="1:14" ht="23.25" thickBot="1" x14ac:dyDescent="0.25">
      <c r="A22" s="978"/>
      <c r="B22" s="1019"/>
      <c r="C22" s="1018"/>
      <c r="D22" s="71" t="s">
        <v>324</v>
      </c>
      <c r="E22" s="71" t="s">
        <v>325</v>
      </c>
      <c r="F22" s="86" t="s">
        <v>557</v>
      </c>
      <c r="G22" s="84">
        <f t="shared" si="6"/>
        <v>10</v>
      </c>
      <c r="H22" s="84"/>
      <c r="I22" s="89">
        <f>SUM(J22:M22)</f>
        <v>0</v>
      </c>
      <c r="J22" s="89"/>
      <c r="K22" s="89"/>
      <c r="L22" s="89"/>
      <c r="M22" s="113"/>
      <c r="N22" s="378"/>
    </row>
    <row r="23" spans="1:14" ht="13.5" thickBot="1" x14ac:dyDescent="0.25">
      <c r="A23" s="978"/>
      <c r="B23" s="1019"/>
      <c r="C23" s="1020"/>
      <c r="D23" s="71" t="s">
        <v>67</v>
      </c>
      <c r="E23" s="71" t="s">
        <v>32</v>
      </c>
      <c r="F23" s="86"/>
      <c r="G23" s="84">
        <f t="shared" si="6"/>
        <v>11</v>
      </c>
      <c r="H23" s="84"/>
      <c r="I23" s="92">
        <f>SUM(J23:M23)</f>
        <v>0</v>
      </c>
      <c r="J23" s="92"/>
      <c r="K23" s="92"/>
      <c r="L23" s="92"/>
      <c r="M23" s="357"/>
      <c r="N23" s="378"/>
    </row>
    <row r="24" spans="1:14" ht="23.25" thickBot="1" x14ac:dyDescent="0.25">
      <c r="A24" s="978"/>
      <c r="B24" s="1019"/>
      <c r="C24" s="71" t="s">
        <v>42</v>
      </c>
      <c r="D24" s="973" t="s">
        <v>326</v>
      </c>
      <c r="E24" s="974"/>
      <c r="F24" s="275" t="s">
        <v>558</v>
      </c>
      <c r="G24" s="84">
        <f t="shared" si="6"/>
        <v>12</v>
      </c>
      <c r="H24" s="84"/>
      <c r="I24" s="473">
        <f>SUM(J24:M24)</f>
        <v>13800</v>
      </c>
      <c r="J24" s="411">
        <v>3400</v>
      </c>
      <c r="K24" s="411">
        <v>3400</v>
      </c>
      <c r="L24" s="411">
        <v>3500</v>
      </c>
      <c r="M24" s="474">
        <v>3500</v>
      </c>
      <c r="N24" s="378"/>
    </row>
    <row r="25" spans="1:14" ht="13.5" thickBot="1" x14ac:dyDescent="0.25">
      <c r="A25" s="978"/>
      <c r="B25" s="1020"/>
      <c r="C25" s="71" t="s">
        <v>28</v>
      </c>
      <c r="D25" s="973" t="s">
        <v>327</v>
      </c>
      <c r="E25" s="974"/>
      <c r="F25" s="275"/>
      <c r="G25" s="84">
        <f t="shared" si="6"/>
        <v>13</v>
      </c>
      <c r="H25" s="84"/>
      <c r="I25" s="473">
        <f t="shared" ref="I25:I33" si="11">SUM(J25:M25)</f>
        <v>0</v>
      </c>
      <c r="J25" s="93"/>
      <c r="K25" s="93"/>
      <c r="L25" s="93"/>
      <c r="M25" s="358"/>
      <c r="N25" s="378"/>
    </row>
    <row r="26" spans="1:14" ht="25.5" customHeight="1" thickBot="1" x14ac:dyDescent="0.25">
      <c r="A26" s="978"/>
      <c r="B26" s="71"/>
      <c r="C26" s="71" t="s">
        <v>34</v>
      </c>
      <c r="D26" s="973" t="s">
        <v>328</v>
      </c>
      <c r="E26" s="974"/>
      <c r="F26" s="275"/>
      <c r="G26" s="84">
        <f>G25+1</f>
        <v>14</v>
      </c>
      <c r="H26" s="84"/>
      <c r="I26" s="473">
        <f t="shared" si="11"/>
        <v>18770</v>
      </c>
      <c r="J26" s="93">
        <f t="shared" ref="J26:M26" si="12">J27+J28+J31+J32+J33</f>
        <v>4540</v>
      </c>
      <c r="K26" s="93">
        <f t="shared" si="12"/>
        <v>4540</v>
      </c>
      <c r="L26" s="93">
        <f t="shared" si="12"/>
        <v>4540</v>
      </c>
      <c r="M26" s="358">
        <f t="shared" si="12"/>
        <v>5150</v>
      </c>
      <c r="N26" s="93">
        <f t="shared" ref="N26" si="13">N27+N28+N31+N32+N33</f>
        <v>0</v>
      </c>
    </row>
    <row r="27" spans="1:14" ht="34.5" thickBot="1" x14ac:dyDescent="0.25">
      <c r="A27" s="978"/>
      <c r="B27" s="71"/>
      <c r="C27" s="71"/>
      <c r="D27" s="71" t="s">
        <v>329</v>
      </c>
      <c r="E27" s="71" t="s">
        <v>330</v>
      </c>
      <c r="F27" s="86" t="s">
        <v>559</v>
      </c>
      <c r="G27" s="84">
        <f t="shared" si="6"/>
        <v>15</v>
      </c>
      <c r="H27" s="84"/>
      <c r="I27" s="473">
        <f t="shared" si="11"/>
        <v>18200</v>
      </c>
      <c r="J27" s="473">
        <v>4400</v>
      </c>
      <c r="K27" s="473">
        <v>4400</v>
      </c>
      <c r="L27" s="473">
        <v>4400</v>
      </c>
      <c r="M27" s="475">
        <v>5000</v>
      </c>
      <c r="N27" s="378"/>
    </row>
    <row r="28" spans="1:14" ht="23.25" thickBot="1" x14ac:dyDescent="0.25">
      <c r="A28" s="978"/>
      <c r="B28" s="71"/>
      <c r="C28" s="71"/>
      <c r="D28" s="71" t="s">
        <v>52</v>
      </c>
      <c r="E28" s="71" t="s">
        <v>331</v>
      </c>
      <c r="F28" s="86"/>
      <c r="G28" s="84">
        <f t="shared" si="6"/>
        <v>16</v>
      </c>
      <c r="H28" s="84"/>
      <c r="I28" s="473">
        <f t="shared" si="11"/>
        <v>0</v>
      </c>
      <c r="J28" s="93">
        <f t="shared" ref="J28:M28" si="14">SUM(J29:J30)</f>
        <v>0</v>
      </c>
      <c r="K28" s="93">
        <f t="shared" si="14"/>
        <v>0</v>
      </c>
      <c r="L28" s="93">
        <f t="shared" si="14"/>
        <v>0</v>
      </c>
      <c r="M28" s="358">
        <f t="shared" si="14"/>
        <v>0</v>
      </c>
      <c r="N28" s="93">
        <f t="shared" ref="N28" si="15">SUM(N29:N30)</f>
        <v>0</v>
      </c>
    </row>
    <row r="29" spans="1:14" ht="23.25" thickBot="1" x14ac:dyDescent="0.25">
      <c r="A29" s="978"/>
      <c r="B29" s="71"/>
      <c r="C29" s="71"/>
      <c r="D29" s="71"/>
      <c r="E29" s="71" t="s">
        <v>332</v>
      </c>
      <c r="F29" s="86" t="s">
        <v>560</v>
      </c>
      <c r="G29" s="84">
        <f t="shared" si="6"/>
        <v>17</v>
      </c>
      <c r="H29" s="84"/>
      <c r="I29" s="473">
        <f t="shared" si="11"/>
        <v>0</v>
      </c>
      <c r="J29" s="93">
        <v>0</v>
      </c>
      <c r="K29" s="93">
        <v>0</v>
      </c>
      <c r="L29" s="93">
        <v>0</v>
      </c>
      <c r="M29" s="358">
        <v>0</v>
      </c>
      <c r="N29" s="93">
        <v>0</v>
      </c>
    </row>
    <row r="30" spans="1:14" ht="23.25" thickBot="1" x14ac:dyDescent="0.25">
      <c r="A30" s="978"/>
      <c r="B30" s="71"/>
      <c r="C30" s="71"/>
      <c r="D30" s="71"/>
      <c r="E30" s="71" t="s">
        <v>333</v>
      </c>
      <c r="F30" s="86" t="s">
        <v>561</v>
      </c>
      <c r="G30" s="84">
        <f t="shared" si="6"/>
        <v>18</v>
      </c>
      <c r="H30" s="84"/>
      <c r="I30" s="473">
        <f t="shared" si="11"/>
        <v>0</v>
      </c>
      <c r="J30" s="93"/>
      <c r="K30" s="93"/>
      <c r="L30" s="93"/>
      <c r="M30" s="358"/>
      <c r="N30" s="93"/>
    </row>
    <row r="31" spans="1:14" ht="23.25" thickBot="1" x14ac:dyDescent="0.25">
      <c r="A31" s="978"/>
      <c r="B31" s="102"/>
      <c r="C31" s="102"/>
      <c r="D31" s="102" t="s">
        <v>53</v>
      </c>
      <c r="E31" s="102" t="s">
        <v>334</v>
      </c>
      <c r="F31" s="290" t="s">
        <v>562</v>
      </c>
      <c r="G31" s="84">
        <f t="shared" si="6"/>
        <v>19</v>
      </c>
      <c r="H31" s="84"/>
      <c r="I31" s="473">
        <f t="shared" si="11"/>
        <v>0</v>
      </c>
      <c r="J31" s="94">
        <v>0</v>
      </c>
      <c r="K31" s="94">
        <v>0</v>
      </c>
      <c r="L31" s="94">
        <v>0</v>
      </c>
      <c r="M31" s="359">
        <v>0</v>
      </c>
      <c r="N31" s="94">
        <v>0</v>
      </c>
    </row>
    <row r="32" spans="1:14" ht="13.5" thickBot="1" x14ac:dyDescent="0.25">
      <c r="A32" s="978"/>
      <c r="B32" s="102"/>
      <c r="C32" s="102"/>
      <c r="D32" s="102" t="s">
        <v>54</v>
      </c>
      <c r="E32" s="102" t="s">
        <v>335</v>
      </c>
      <c r="F32" s="290"/>
      <c r="G32" s="84">
        <f t="shared" si="6"/>
        <v>20</v>
      </c>
      <c r="H32" s="84"/>
      <c r="I32" s="473">
        <f t="shared" si="11"/>
        <v>0</v>
      </c>
      <c r="J32" s="94"/>
      <c r="K32" s="94"/>
      <c r="L32" s="94"/>
      <c r="M32" s="359"/>
      <c r="N32" s="378"/>
    </row>
    <row r="33" spans="1:14" ht="13.5" thickBot="1" x14ac:dyDescent="0.25">
      <c r="A33" s="978"/>
      <c r="B33" s="102"/>
      <c r="C33" s="102"/>
      <c r="D33" s="102" t="s">
        <v>55</v>
      </c>
      <c r="E33" s="102" t="s">
        <v>321</v>
      </c>
      <c r="F33" s="290" t="s">
        <v>563</v>
      </c>
      <c r="G33" s="84">
        <f t="shared" si="6"/>
        <v>21</v>
      </c>
      <c r="H33" s="84"/>
      <c r="I33" s="473">
        <f t="shared" si="11"/>
        <v>570</v>
      </c>
      <c r="J33" s="94">
        <v>140</v>
      </c>
      <c r="K33" s="94">
        <v>140</v>
      </c>
      <c r="L33" s="94">
        <v>140</v>
      </c>
      <c r="M33" s="359">
        <v>150</v>
      </c>
      <c r="N33" s="378"/>
    </row>
    <row r="34" spans="1:14" ht="19.5" customHeight="1" thickBot="1" x14ac:dyDescent="0.25">
      <c r="A34" s="978"/>
      <c r="B34" s="282" t="s">
        <v>21</v>
      </c>
      <c r="C34" s="282"/>
      <c r="D34" s="1015" t="s">
        <v>336</v>
      </c>
      <c r="E34" s="1017"/>
      <c r="F34" s="283"/>
      <c r="G34" s="284">
        <f t="shared" si="6"/>
        <v>22</v>
      </c>
      <c r="H34" s="284"/>
      <c r="I34" s="291">
        <f t="shared" ref="I34:M34" si="16">I35+I36+I37+I38+I39</f>
        <v>0</v>
      </c>
      <c r="J34" s="291">
        <f t="shared" si="16"/>
        <v>0</v>
      </c>
      <c r="K34" s="291">
        <f t="shared" si="16"/>
        <v>0</v>
      </c>
      <c r="L34" s="291">
        <f t="shared" si="16"/>
        <v>0</v>
      </c>
      <c r="M34" s="360">
        <f t="shared" si="16"/>
        <v>0</v>
      </c>
      <c r="N34" s="291">
        <f t="shared" ref="N34" si="17">N35+N36+N37+N38+N39</f>
        <v>0</v>
      </c>
    </row>
    <row r="35" spans="1:14" ht="13.5" thickBot="1" x14ac:dyDescent="0.25">
      <c r="A35" s="978"/>
      <c r="B35" s="1018"/>
      <c r="C35" s="71" t="s">
        <v>27</v>
      </c>
      <c r="D35" s="973" t="s">
        <v>337</v>
      </c>
      <c r="E35" s="974"/>
      <c r="F35" s="275"/>
      <c r="G35" s="84">
        <f t="shared" si="6"/>
        <v>23</v>
      </c>
      <c r="H35" s="84"/>
      <c r="I35" s="93">
        <f t="shared" ref="I35:I40" si="18">SUM(J35:M35)</f>
        <v>0</v>
      </c>
      <c r="J35" s="93"/>
      <c r="K35" s="93"/>
      <c r="L35" s="93"/>
      <c r="M35" s="358"/>
      <c r="N35" s="93"/>
    </row>
    <row r="36" spans="1:14" ht="13.5" thickBot="1" x14ac:dyDescent="0.25">
      <c r="A36" s="978"/>
      <c r="B36" s="1019"/>
      <c r="C36" s="71" t="s">
        <v>38</v>
      </c>
      <c r="D36" s="973" t="s">
        <v>338</v>
      </c>
      <c r="E36" s="974"/>
      <c r="F36" s="275"/>
      <c r="G36" s="84">
        <f t="shared" si="6"/>
        <v>24</v>
      </c>
      <c r="H36" s="84"/>
      <c r="I36" s="93">
        <f t="shared" si="18"/>
        <v>0</v>
      </c>
      <c r="J36" s="93"/>
      <c r="K36" s="93"/>
      <c r="L36" s="93"/>
      <c r="M36" s="358"/>
      <c r="N36" s="93"/>
    </row>
    <row r="37" spans="1:14" ht="25.5" customHeight="1" thickBot="1" x14ac:dyDescent="0.25">
      <c r="A37" s="978"/>
      <c r="B37" s="1019"/>
      <c r="C37" s="71" t="s">
        <v>40</v>
      </c>
      <c r="D37" s="973" t="s">
        <v>339</v>
      </c>
      <c r="E37" s="974"/>
      <c r="F37" s="275" t="s">
        <v>564</v>
      </c>
      <c r="G37" s="84">
        <f t="shared" si="6"/>
        <v>25</v>
      </c>
      <c r="H37" s="84"/>
      <c r="I37" s="94">
        <f t="shared" si="18"/>
        <v>0</v>
      </c>
      <c r="J37" s="93"/>
      <c r="K37" s="93"/>
      <c r="L37" s="93"/>
      <c r="M37" s="358"/>
      <c r="N37" s="93"/>
    </row>
    <row r="38" spans="1:14" ht="25.5" customHeight="1" thickBot="1" x14ac:dyDescent="0.25">
      <c r="A38" s="978"/>
      <c r="B38" s="1019"/>
      <c r="C38" s="71" t="s">
        <v>42</v>
      </c>
      <c r="D38" s="973" t="s">
        <v>340</v>
      </c>
      <c r="E38" s="974"/>
      <c r="F38" s="275" t="s">
        <v>565</v>
      </c>
      <c r="G38" s="84">
        <f t="shared" si="6"/>
        <v>26</v>
      </c>
      <c r="H38" s="84"/>
      <c r="I38" s="93">
        <f t="shared" si="18"/>
        <v>0</v>
      </c>
      <c r="J38" s="93"/>
      <c r="K38" s="93"/>
      <c r="L38" s="93"/>
      <c r="M38" s="358"/>
      <c r="N38" s="93"/>
    </row>
    <row r="39" spans="1:14" ht="13.5" thickBot="1" x14ac:dyDescent="0.25">
      <c r="A39" s="978"/>
      <c r="B39" s="1020"/>
      <c r="C39" s="71" t="s">
        <v>28</v>
      </c>
      <c r="D39" s="973" t="s">
        <v>341</v>
      </c>
      <c r="E39" s="974"/>
      <c r="F39" s="275" t="s">
        <v>566</v>
      </c>
      <c r="G39" s="84">
        <f t="shared" si="6"/>
        <v>27</v>
      </c>
      <c r="H39" s="84"/>
      <c r="I39" s="93">
        <f t="shared" si="18"/>
        <v>0</v>
      </c>
      <c r="J39" s="93"/>
      <c r="K39" s="93"/>
      <c r="L39" s="93"/>
      <c r="M39" s="358"/>
      <c r="N39" s="93"/>
    </row>
    <row r="40" spans="1:14" ht="13.5" thickBot="1" x14ac:dyDescent="0.25">
      <c r="A40" s="979"/>
      <c r="B40" s="71" t="s">
        <v>17</v>
      </c>
      <c r="C40" s="71"/>
      <c r="D40" s="973" t="s">
        <v>115</v>
      </c>
      <c r="E40" s="974"/>
      <c r="F40" s="275"/>
      <c r="G40" s="84">
        <f t="shared" si="6"/>
        <v>28</v>
      </c>
      <c r="H40" s="84"/>
      <c r="I40" s="93">
        <f t="shared" si="18"/>
        <v>0</v>
      </c>
      <c r="J40" s="93"/>
      <c r="K40" s="93"/>
      <c r="L40" s="93"/>
      <c r="M40" s="358"/>
      <c r="N40" s="93"/>
    </row>
    <row r="41" spans="1:14" ht="13.5" thickBot="1" x14ac:dyDescent="0.25">
      <c r="A41" s="87" t="s">
        <v>23</v>
      </c>
      <c r="B41" s="1023" t="s">
        <v>463</v>
      </c>
      <c r="C41" s="1024"/>
      <c r="D41" s="1024"/>
      <c r="E41" s="1025"/>
      <c r="F41" s="292"/>
      <c r="G41" s="284">
        <f t="shared" si="6"/>
        <v>29</v>
      </c>
      <c r="H41" s="284"/>
      <c r="I41" s="88">
        <f>SUM(J41:M41)</f>
        <v>2505107.3459799998</v>
      </c>
      <c r="J41" s="88">
        <f t="shared" ref="J41:M41" si="19">J42+J182+J190</f>
        <v>526168.97543999995</v>
      </c>
      <c r="K41" s="88">
        <f t="shared" si="19"/>
        <v>582206.94464</v>
      </c>
      <c r="L41" s="88">
        <f t="shared" si="19"/>
        <v>762945.65663999994</v>
      </c>
      <c r="M41" s="353">
        <f t="shared" si="19"/>
        <v>633785.76925999997</v>
      </c>
      <c r="N41" s="88">
        <f t="shared" ref="N41" si="20">N42+N182+N190</f>
        <v>0</v>
      </c>
    </row>
    <row r="42" spans="1:14" ht="21" customHeight="1" thickBot="1" x14ac:dyDescent="0.25">
      <c r="A42" s="977"/>
      <c r="B42" s="293" t="s">
        <v>4</v>
      </c>
      <c r="C42" s="1026" t="s">
        <v>464</v>
      </c>
      <c r="D42" s="1027"/>
      <c r="E42" s="1028"/>
      <c r="F42" s="277"/>
      <c r="G42" s="97">
        <f t="shared" si="6"/>
        <v>30</v>
      </c>
      <c r="H42" s="97"/>
      <c r="I42" s="98">
        <f t="shared" ref="I42:M42" si="21">I43+I115+I131+I165</f>
        <v>2505107.3459799998</v>
      </c>
      <c r="J42" s="98">
        <f t="shared" si="21"/>
        <v>526168.97543999995</v>
      </c>
      <c r="K42" s="98">
        <f t="shared" si="21"/>
        <v>582206.94464</v>
      </c>
      <c r="L42" s="98">
        <f t="shared" si="21"/>
        <v>762945.65663999994</v>
      </c>
      <c r="M42" s="361">
        <f t="shared" si="21"/>
        <v>633785.76925999997</v>
      </c>
      <c r="N42" s="98">
        <f t="shared" ref="N42" si="22">N43+N115+N131+N165</f>
        <v>0</v>
      </c>
    </row>
    <row r="43" spans="1:14" ht="22.5" customHeight="1" thickBot="1" x14ac:dyDescent="0.25">
      <c r="A43" s="978"/>
      <c r="B43" s="1029"/>
      <c r="C43" s="1026" t="s">
        <v>473</v>
      </c>
      <c r="D43" s="1027"/>
      <c r="E43" s="1028"/>
      <c r="F43" s="277"/>
      <c r="G43" s="97">
        <f t="shared" si="6"/>
        <v>31</v>
      </c>
      <c r="H43" s="97"/>
      <c r="I43" s="98">
        <f>SUM(J43:M43)</f>
        <v>1460166</v>
      </c>
      <c r="J43" s="98">
        <f t="shared" ref="J43:M43" si="23">J44+J65+J75</f>
        <v>357624</v>
      </c>
      <c r="K43" s="98">
        <f t="shared" si="23"/>
        <v>346924</v>
      </c>
      <c r="L43" s="98">
        <f t="shared" si="23"/>
        <v>462574</v>
      </c>
      <c r="M43" s="361">
        <f t="shared" si="23"/>
        <v>293044</v>
      </c>
      <c r="N43" s="98">
        <f t="shared" ref="N43" si="24">N44+N65+N75</f>
        <v>0</v>
      </c>
    </row>
    <row r="44" spans="1:14" ht="13.5" thickBot="1" x14ac:dyDescent="0.25">
      <c r="A44" s="978"/>
      <c r="B44" s="1030"/>
      <c r="C44" s="294" t="s">
        <v>265</v>
      </c>
      <c r="D44" s="986" t="s">
        <v>342</v>
      </c>
      <c r="E44" s="988"/>
      <c r="F44" s="276"/>
      <c r="G44" s="97">
        <f t="shared" si="6"/>
        <v>32</v>
      </c>
      <c r="H44" s="97"/>
      <c r="I44" s="100">
        <f t="shared" ref="I44:M44" si="25">I45+I46+I57+I58+I64</f>
        <v>924890</v>
      </c>
      <c r="J44" s="100">
        <f t="shared" si="25"/>
        <v>223080</v>
      </c>
      <c r="K44" s="100">
        <f t="shared" si="25"/>
        <v>210030</v>
      </c>
      <c r="L44" s="100">
        <f t="shared" si="25"/>
        <v>273680</v>
      </c>
      <c r="M44" s="362">
        <f t="shared" si="25"/>
        <v>218100</v>
      </c>
      <c r="N44" s="100">
        <f t="shared" ref="N44" si="26">N45+N46+N57+N58+N64</f>
        <v>0</v>
      </c>
    </row>
    <row r="45" spans="1:14" ht="13.5" thickBot="1" x14ac:dyDescent="0.25">
      <c r="A45" s="978"/>
      <c r="B45" s="1030"/>
      <c r="C45" s="71" t="s">
        <v>27</v>
      </c>
      <c r="D45" s="973" t="s">
        <v>227</v>
      </c>
      <c r="E45" s="974"/>
      <c r="F45" s="275" t="s">
        <v>567</v>
      </c>
      <c r="G45" s="84">
        <f t="shared" si="6"/>
        <v>33</v>
      </c>
      <c r="H45" s="84"/>
      <c r="I45" s="89">
        <f t="shared" ref="I45:I63" si="27">SUM(J45:M45)</f>
        <v>19400</v>
      </c>
      <c r="J45" s="89">
        <v>4800</v>
      </c>
      <c r="K45" s="89">
        <v>4800</v>
      </c>
      <c r="L45" s="89">
        <v>4900</v>
      </c>
      <c r="M45" s="113">
        <v>4900</v>
      </c>
      <c r="N45" s="89"/>
    </row>
    <row r="46" spans="1:14" ht="13.5" thickBot="1" x14ac:dyDescent="0.25">
      <c r="A46" s="978"/>
      <c r="B46" s="1030"/>
      <c r="C46" s="71" t="s">
        <v>38</v>
      </c>
      <c r="D46" s="973" t="s">
        <v>267</v>
      </c>
      <c r="E46" s="974"/>
      <c r="F46" s="275" t="s">
        <v>568</v>
      </c>
      <c r="G46" s="84">
        <f t="shared" si="6"/>
        <v>34</v>
      </c>
      <c r="H46" s="84"/>
      <c r="I46" s="101">
        <f t="shared" si="27"/>
        <v>70090</v>
      </c>
      <c r="J46" s="89">
        <f t="shared" ref="J46:M46" si="28">J47</f>
        <v>14080</v>
      </c>
      <c r="K46" s="89">
        <f t="shared" si="28"/>
        <v>14030</v>
      </c>
      <c r="L46" s="89">
        <f t="shared" si="28"/>
        <v>20080</v>
      </c>
      <c r="M46" s="89">
        <f t="shared" si="28"/>
        <v>21900</v>
      </c>
      <c r="N46" s="89"/>
    </row>
    <row r="47" spans="1:14" ht="13.5" thickBot="1" x14ac:dyDescent="0.25">
      <c r="A47" s="978"/>
      <c r="B47" s="1030"/>
      <c r="C47" s="71"/>
      <c r="D47" s="71" t="s">
        <v>76</v>
      </c>
      <c r="E47" s="71" t="s">
        <v>569</v>
      </c>
      <c r="F47" s="86">
        <v>602</v>
      </c>
      <c r="G47" s="84">
        <f t="shared" si="6"/>
        <v>35</v>
      </c>
      <c r="H47" s="84"/>
      <c r="I47" s="89">
        <f t="shared" si="27"/>
        <v>70090</v>
      </c>
      <c r="J47" s="89">
        <f t="shared" ref="J47:M47" si="29">SUM(J48:J53)</f>
        <v>14080</v>
      </c>
      <c r="K47" s="89">
        <f t="shared" si="29"/>
        <v>14030</v>
      </c>
      <c r="L47" s="89">
        <f t="shared" si="29"/>
        <v>20080</v>
      </c>
      <c r="M47" s="89">
        <f t="shared" si="29"/>
        <v>21900</v>
      </c>
      <c r="N47" s="89">
        <f>SUM(N48:N53)</f>
        <v>0</v>
      </c>
    </row>
    <row r="48" spans="1:14" ht="13.5" thickBot="1" x14ac:dyDescent="0.25">
      <c r="A48" s="978"/>
      <c r="B48" s="1030"/>
      <c r="C48" s="295"/>
      <c r="D48" s="295"/>
      <c r="E48" s="71" t="s">
        <v>570</v>
      </c>
      <c r="F48" s="296" t="s">
        <v>571</v>
      </c>
      <c r="G48" s="84"/>
      <c r="H48" s="84"/>
      <c r="I48" s="89">
        <f t="shared" si="27"/>
        <v>49700</v>
      </c>
      <c r="J48" s="89">
        <v>11000</v>
      </c>
      <c r="K48" s="89">
        <v>11000</v>
      </c>
      <c r="L48" s="89">
        <v>17000</v>
      </c>
      <c r="M48" s="113">
        <v>10700</v>
      </c>
      <c r="N48" s="89"/>
    </row>
    <row r="49" spans="1:14" ht="13.5" thickBot="1" x14ac:dyDescent="0.25">
      <c r="A49" s="978"/>
      <c r="B49" s="1030"/>
      <c r="C49" s="256"/>
      <c r="D49" s="256"/>
      <c r="E49" s="71" t="s">
        <v>572</v>
      </c>
      <c r="F49" s="296">
        <v>6024</v>
      </c>
      <c r="G49" s="84"/>
      <c r="H49" s="84"/>
      <c r="I49" s="89">
        <f t="shared" si="27"/>
        <v>8950</v>
      </c>
      <c r="J49" s="89">
        <v>200</v>
      </c>
      <c r="K49" s="89">
        <v>150</v>
      </c>
      <c r="L49" s="89">
        <v>200</v>
      </c>
      <c r="M49" s="113">
        <v>8400</v>
      </c>
      <c r="N49" s="89"/>
    </row>
    <row r="50" spans="1:14" ht="13.5" thickBot="1" x14ac:dyDescent="0.25">
      <c r="A50" s="978"/>
      <c r="B50" s="1030"/>
      <c r="C50" s="256"/>
      <c r="D50" s="256"/>
      <c r="E50" s="71" t="s">
        <v>573</v>
      </c>
      <c r="F50" s="296">
        <v>6027</v>
      </c>
      <c r="G50" s="84"/>
      <c r="H50" s="84"/>
      <c r="I50" s="89">
        <f t="shared" si="27"/>
        <v>10000</v>
      </c>
      <c r="J50" s="89">
        <v>2700</v>
      </c>
      <c r="K50" s="89">
        <v>2700</v>
      </c>
      <c r="L50" s="89">
        <v>2700</v>
      </c>
      <c r="M50" s="113">
        <v>1900</v>
      </c>
      <c r="N50" s="89"/>
    </row>
    <row r="51" spans="1:14" ht="13.5" thickBot="1" x14ac:dyDescent="0.25">
      <c r="A51" s="978"/>
      <c r="B51" s="1030"/>
      <c r="C51" s="256"/>
      <c r="D51" s="256"/>
      <c r="E51" s="71" t="s">
        <v>574</v>
      </c>
      <c r="F51" s="296" t="s">
        <v>575</v>
      </c>
      <c r="G51" s="84"/>
      <c r="H51" s="84"/>
      <c r="I51" s="89">
        <f t="shared" si="27"/>
        <v>1440</v>
      </c>
      <c r="J51" s="89">
        <v>180</v>
      </c>
      <c r="K51" s="89">
        <v>180</v>
      </c>
      <c r="L51" s="89">
        <v>180</v>
      </c>
      <c r="M51" s="113">
        <v>900</v>
      </c>
      <c r="N51" s="89"/>
    </row>
    <row r="52" spans="1:14" ht="13.5" thickBot="1" x14ac:dyDescent="0.25">
      <c r="A52" s="978"/>
      <c r="B52" s="1030"/>
      <c r="C52" s="256"/>
      <c r="D52" s="256"/>
      <c r="E52" s="256" t="s">
        <v>576</v>
      </c>
      <c r="F52" s="296">
        <v>608</v>
      </c>
      <c r="G52" s="84"/>
      <c r="H52" s="84"/>
      <c r="I52" s="89">
        <f t="shared" si="27"/>
        <v>0</v>
      </c>
      <c r="J52" s="89"/>
      <c r="K52" s="89"/>
      <c r="L52" s="89"/>
      <c r="M52" s="113"/>
      <c r="N52" s="89"/>
    </row>
    <row r="53" spans="1:14" ht="13.5" thickBot="1" x14ac:dyDescent="0.25">
      <c r="A53" s="978"/>
      <c r="B53" s="1030"/>
      <c r="C53" s="297"/>
      <c r="D53" s="297"/>
      <c r="E53" s="297" t="s">
        <v>577</v>
      </c>
      <c r="F53" s="296">
        <v>609</v>
      </c>
      <c r="G53" s="84"/>
      <c r="H53" s="84"/>
      <c r="I53" s="89">
        <f t="shared" si="27"/>
        <v>0</v>
      </c>
      <c r="J53" s="89"/>
      <c r="K53" s="89"/>
      <c r="L53" s="89"/>
      <c r="M53" s="113"/>
      <c r="N53" s="89"/>
    </row>
    <row r="54" spans="1:14" ht="13.5" thickBot="1" x14ac:dyDescent="0.25">
      <c r="A54" s="978"/>
      <c r="B54" s="1030"/>
      <c r="C54" s="71"/>
      <c r="D54" s="71" t="s">
        <v>99</v>
      </c>
      <c r="E54" s="71" t="s">
        <v>269</v>
      </c>
      <c r="F54" s="86"/>
      <c r="G54" s="84">
        <f>G47+1</f>
        <v>36</v>
      </c>
      <c r="H54" s="84"/>
      <c r="I54" s="89">
        <f t="shared" si="27"/>
        <v>3650</v>
      </c>
      <c r="J54" s="89">
        <f t="shared" ref="J54:L54" si="30">SUM(J55:J56)</f>
        <v>900</v>
      </c>
      <c r="K54" s="89">
        <f t="shared" si="30"/>
        <v>900</v>
      </c>
      <c r="L54" s="89">
        <f t="shared" si="30"/>
        <v>900</v>
      </c>
      <c r="M54" s="113">
        <v>950</v>
      </c>
      <c r="N54" s="89">
        <f>SUM(N55:N56)</f>
        <v>0</v>
      </c>
    </row>
    <row r="55" spans="1:14" ht="13.5" thickBot="1" x14ac:dyDescent="0.25">
      <c r="A55" s="978"/>
      <c r="B55" s="1030"/>
      <c r="C55" s="298"/>
      <c r="D55" s="300"/>
      <c r="E55" s="71" t="s">
        <v>578</v>
      </c>
      <c r="F55" s="296">
        <v>6022</v>
      </c>
      <c r="G55" s="84"/>
      <c r="H55" s="84"/>
      <c r="I55" s="89">
        <f t="shared" si="27"/>
        <v>3600</v>
      </c>
      <c r="J55" s="89">
        <v>900</v>
      </c>
      <c r="K55" s="89">
        <v>900</v>
      </c>
      <c r="L55" s="89">
        <v>900</v>
      </c>
      <c r="M55" s="113">
        <v>900</v>
      </c>
      <c r="N55" s="89"/>
    </row>
    <row r="56" spans="1:14" ht="13.5" thickBot="1" x14ac:dyDescent="0.25">
      <c r="A56" s="978"/>
      <c r="B56" s="1030"/>
      <c r="C56" s="298"/>
      <c r="D56" s="300"/>
      <c r="E56" s="71" t="s">
        <v>579</v>
      </c>
      <c r="F56" s="296">
        <v>604</v>
      </c>
      <c r="G56" s="84"/>
      <c r="H56" s="84"/>
      <c r="I56" s="89">
        <f t="shared" si="27"/>
        <v>0</v>
      </c>
      <c r="J56" s="89"/>
      <c r="K56" s="89"/>
      <c r="L56" s="89"/>
      <c r="M56" s="113"/>
      <c r="N56" s="89"/>
    </row>
    <row r="57" spans="1:14" ht="13.5" thickBot="1" x14ac:dyDescent="0.25">
      <c r="A57" s="978"/>
      <c r="B57" s="1030"/>
      <c r="C57" s="71" t="s">
        <v>40</v>
      </c>
      <c r="D57" s="973" t="s">
        <v>343</v>
      </c>
      <c r="E57" s="974"/>
      <c r="F57" s="275">
        <v>603</v>
      </c>
      <c r="G57" s="84">
        <f>G54+1</f>
        <v>37</v>
      </c>
      <c r="H57" s="84"/>
      <c r="I57" s="89">
        <f t="shared" si="27"/>
        <v>18100</v>
      </c>
      <c r="J57" s="89">
        <v>3700</v>
      </c>
      <c r="K57" s="89">
        <v>3700</v>
      </c>
      <c r="L57" s="89">
        <v>3700</v>
      </c>
      <c r="M57" s="113">
        <v>7000</v>
      </c>
      <c r="N57" s="89"/>
    </row>
    <row r="58" spans="1:14" ht="13.5" thickBot="1" x14ac:dyDescent="0.25">
      <c r="A58" s="978"/>
      <c r="B58" s="1030"/>
      <c r="C58" s="71" t="s">
        <v>42</v>
      </c>
      <c r="D58" s="973" t="s">
        <v>271</v>
      </c>
      <c r="E58" s="974"/>
      <c r="F58" s="275">
        <v>605</v>
      </c>
      <c r="G58" s="84">
        <f t="shared" si="6"/>
        <v>38</v>
      </c>
      <c r="H58" s="84"/>
      <c r="I58" s="89">
        <f t="shared" si="27"/>
        <v>817300</v>
      </c>
      <c r="J58" s="89">
        <f>SUM(J59:J63)</f>
        <v>200500</v>
      </c>
      <c r="K58" s="89">
        <f>SUM(K59:K63)</f>
        <v>187500</v>
      </c>
      <c r="L58" s="89">
        <f>SUM(L59:L63)</f>
        <v>245000</v>
      </c>
      <c r="M58" s="89">
        <f>SUM(M59:M63)</f>
        <v>184300</v>
      </c>
      <c r="N58" s="89">
        <f>SUM(N59:N63)</f>
        <v>0</v>
      </c>
    </row>
    <row r="59" spans="1:14" ht="13.5" thickBot="1" x14ac:dyDescent="0.25">
      <c r="A59" s="978"/>
      <c r="B59" s="1030"/>
      <c r="C59" s="295"/>
      <c r="D59" s="295"/>
      <c r="E59" s="256" t="s">
        <v>580</v>
      </c>
      <c r="F59" s="296" t="s">
        <v>581</v>
      </c>
      <c r="G59" s="84"/>
      <c r="H59" s="84"/>
      <c r="I59" s="89">
        <f t="shared" si="27"/>
        <v>274500</v>
      </c>
      <c r="J59" s="89">
        <v>67000</v>
      </c>
      <c r="K59" s="89">
        <v>67000</v>
      </c>
      <c r="L59" s="89">
        <v>77000</v>
      </c>
      <c r="M59" s="113">
        <v>63500</v>
      </c>
      <c r="N59" s="89"/>
    </row>
    <row r="60" spans="1:14" ht="13.5" thickBot="1" x14ac:dyDescent="0.25">
      <c r="A60" s="978"/>
      <c r="B60" s="1030"/>
      <c r="C60" s="256"/>
      <c r="D60" s="256"/>
      <c r="E60" s="256" t="s">
        <v>582</v>
      </c>
      <c r="F60" s="296" t="s">
        <v>583</v>
      </c>
      <c r="G60" s="84"/>
      <c r="H60" s="84"/>
      <c r="I60" s="89">
        <f t="shared" si="27"/>
        <v>111000</v>
      </c>
      <c r="J60" s="89">
        <v>33000</v>
      </c>
      <c r="K60" s="89">
        <v>20000</v>
      </c>
      <c r="L60" s="89">
        <v>33000</v>
      </c>
      <c r="M60" s="113">
        <v>25000</v>
      </c>
      <c r="N60" s="89"/>
    </row>
    <row r="61" spans="1:14" ht="13.5" thickBot="1" x14ac:dyDescent="0.25">
      <c r="A61" s="978"/>
      <c r="B61" s="1030"/>
      <c r="C61" s="256"/>
      <c r="D61" s="256"/>
      <c r="E61" s="295" t="s">
        <v>584</v>
      </c>
      <c r="F61" s="296" t="s">
        <v>585</v>
      </c>
      <c r="G61" s="84"/>
      <c r="H61" s="84"/>
      <c r="I61" s="89">
        <f t="shared" si="27"/>
        <v>431800</v>
      </c>
      <c r="J61" s="89">
        <v>100500</v>
      </c>
      <c r="K61" s="89">
        <v>100500</v>
      </c>
      <c r="L61" s="89">
        <v>135000</v>
      </c>
      <c r="M61" s="113">
        <v>95800</v>
      </c>
      <c r="N61" s="89"/>
    </row>
    <row r="62" spans="1:14" ht="13.5" thickBot="1" x14ac:dyDescent="0.25">
      <c r="A62" s="978"/>
      <c r="B62" s="1030"/>
      <c r="C62" s="256"/>
      <c r="D62" s="256"/>
      <c r="E62" s="256" t="s">
        <v>586</v>
      </c>
      <c r="F62" s="296" t="s">
        <v>587</v>
      </c>
      <c r="G62" s="84"/>
      <c r="H62" s="84"/>
      <c r="I62" s="89">
        <f t="shared" si="27"/>
        <v>0</v>
      </c>
      <c r="J62" s="89"/>
      <c r="K62" s="89"/>
      <c r="L62" s="89"/>
      <c r="M62" s="113"/>
      <c r="N62" s="89"/>
    </row>
    <row r="63" spans="1:14" ht="13.5" thickBot="1" x14ac:dyDescent="0.25">
      <c r="A63" s="978"/>
      <c r="B63" s="1030"/>
      <c r="C63" s="297"/>
      <c r="D63" s="297"/>
      <c r="E63" s="297" t="s">
        <v>588</v>
      </c>
      <c r="F63" s="296" t="s">
        <v>589</v>
      </c>
      <c r="G63" s="84"/>
      <c r="H63" s="84"/>
      <c r="I63" s="89">
        <f t="shared" si="27"/>
        <v>0</v>
      </c>
      <c r="J63" s="89"/>
      <c r="K63" s="89"/>
      <c r="L63" s="89"/>
      <c r="M63" s="113"/>
      <c r="N63" s="89"/>
    </row>
    <row r="64" spans="1:14" ht="13.5" thickBot="1" x14ac:dyDescent="0.25">
      <c r="A64" s="978"/>
      <c r="B64" s="1030"/>
      <c r="C64" s="71" t="s">
        <v>28</v>
      </c>
      <c r="D64" s="973" t="s">
        <v>272</v>
      </c>
      <c r="E64" s="974"/>
      <c r="F64" s="275"/>
      <c r="G64" s="84">
        <f>G58+1</f>
        <v>39</v>
      </c>
      <c r="H64" s="84"/>
      <c r="I64" s="89">
        <v>0</v>
      </c>
      <c r="J64" s="89">
        <v>0</v>
      </c>
      <c r="K64" s="89">
        <v>0</v>
      </c>
      <c r="L64" s="89">
        <v>0</v>
      </c>
      <c r="M64" s="113">
        <v>0</v>
      </c>
      <c r="N64" s="89"/>
    </row>
    <row r="65" spans="1:14" ht="23.25" customHeight="1" thickBot="1" x14ac:dyDescent="0.25">
      <c r="A65" s="978"/>
      <c r="B65" s="1030"/>
      <c r="C65" s="294" t="s">
        <v>273</v>
      </c>
      <c r="D65" s="986" t="s">
        <v>465</v>
      </c>
      <c r="E65" s="988"/>
      <c r="F65" s="276"/>
      <c r="G65" s="97">
        <f t="shared" si="6"/>
        <v>40</v>
      </c>
      <c r="H65" s="97"/>
      <c r="I65" s="100">
        <f t="shared" ref="I65:M65" si="31">SUM(I66:I70)+I74</f>
        <v>17750</v>
      </c>
      <c r="J65" s="100">
        <f>J66+J70+J74</f>
        <v>2450</v>
      </c>
      <c r="K65" s="100">
        <f t="shared" si="31"/>
        <v>4800</v>
      </c>
      <c r="L65" s="100">
        <f t="shared" si="31"/>
        <v>4800</v>
      </c>
      <c r="M65" s="362">
        <f t="shared" si="31"/>
        <v>4850</v>
      </c>
      <c r="N65" s="100">
        <f t="shared" ref="N65" si="32">SUM(N66:N70)+N74</f>
        <v>0</v>
      </c>
    </row>
    <row r="66" spans="1:14" ht="13.5" thickBot="1" x14ac:dyDescent="0.25">
      <c r="A66" s="978"/>
      <c r="B66" s="1030"/>
      <c r="C66" s="71" t="s">
        <v>27</v>
      </c>
      <c r="D66" s="973" t="s">
        <v>274</v>
      </c>
      <c r="E66" s="974"/>
      <c r="F66" s="275">
        <v>611</v>
      </c>
      <c r="G66" s="84">
        <f t="shared" si="6"/>
        <v>41</v>
      </c>
      <c r="H66" s="84"/>
      <c r="I66" s="89">
        <f t="shared" ref="I66:I74" si="33">SUM(J66:M66)</f>
        <v>3400</v>
      </c>
      <c r="J66" s="89">
        <f t="shared" ref="J66:M66" si="34">SUM(J67:J69)</f>
        <v>850</v>
      </c>
      <c r="K66" s="89">
        <f t="shared" si="34"/>
        <v>850</v>
      </c>
      <c r="L66" s="89">
        <f t="shared" si="34"/>
        <v>850</v>
      </c>
      <c r="M66" s="113">
        <f t="shared" si="34"/>
        <v>850</v>
      </c>
      <c r="N66" s="89">
        <f>SUM(N67:N69)</f>
        <v>0</v>
      </c>
    </row>
    <row r="67" spans="1:14" ht="13.5" thickBot="1" x14ac:dyDescent="0.25">
      <c r="A67" s="978"/>
      <c r="B67" s="1030"/>
      <c r="C67" s="71"/>
      <c r="D67" s="278"/>
      <c r="E67" s="279" t="s">
        <v>590</v>
      </c>
      <c r="F67" s="296" t="s">
        <v>591</v>
      </c>
      <c r="G67" s="84"/>
      <c r="H67" s="84"/>
      <c r="I67" s="89">
        <f t="shared" si="33"/>
        <v>3400</v>
      </c>
      <c r="J67" s="89">
        <v>850</v>
      </c>
      <c r="K67" s="89">
        <v>850</v>
      </c>
      <c r="L67" s="89">
        <v>850</v>
      </c>
      <c r="M67" s="113">
        <v>850</v>
      </c>
      <c r="N67" s="89"/>
    </row>
    <row r="68" spans="1:14" ht="13.5" thickBot="1" x14ac:dyDescent="0.25">
      <c r="A68" s="978"/>
      <c r="B68" s="1030"/>
      <c r="C68" s="71"/>
      <c r="D68" s="278"/>
      <c r="E68" s="279" t="s">
        <v>592</v>
      </c>
      <c r="F68" s="296">
        <v>611.01</v>
      </c>
      <c r="G68" s="84"/>
      <c r="H68" s="84"/>
      <c r="I68" s="89">
        <f t="shared" si="33"/>
        <v>0</v>
      </c>
      <c r="J68" s="89"/>
      <c r="K68" s="89"/>
      <c r="L68" s="89"/>
      <c r="M68" s="113"/>
      <c r="N68" s="89"/>
    </row>
    <row r="69" spans="1:14" ht="13.5" thickBot="1" x14ac:dyDescent="0.25">
      <c r="A69" s="978"/>
      <c r="B69" s="1030"/>
      <c r="C69" s="71"/>
      <c r="D69" s="278"/>
      <c r="E69" s="279" t="s">
        <v>593</v>
      </c>
      <c r="F69" s="296" t="s">
        <v>594</v>
      </c>
      <c r="G69" s="84"/>
      <c r="H69" s="84"/>
      <c r="I69" s="89">
        <f t="shared" si="33"/>
        <v>0</v>
      </c>
      <c r="J69" s="89"/>
      <c r="K69" s="89"/>
      <c r="L69" s="89"/>
      <c r="M69" s="113"/>
      <c r="N69" s="89"/>
    </row>
    <row r="70" spans="1:14" ht="13.5" thickBot="1" x14ac:dyDescent="0.25">
      <c r="A70" s="979"/>
      <c r="B70" s="1031"/>
      <c r="C70" s="71" t="s">
        <v>38</v>
      </c>
      <c r="D70" s="973" t="s">
        <v>275</v>
      </c>
      <c r="E70" s="974"/>
      <c r="F70" s="275">
        <v>612</v>
      </c>
      <c r="G70" s="84">
        <f>G66+1</f>
        <v>42</v>
      </c>
      <c r="H70" s="84"/>
      <c r="I70" s="89">
        <f t="shared" si="33"/>
        <v>10500</v>
      </c>
      <c r="J70" s="89">
        <v>1500</v>
      </c>
      <c r="K70" s="89">
        <v>3000</v>
      </c>
      <c r="L70" s="89">
        <v>3000</v>
      </c>
      <c r="M70" s="113">
        <v>3000</v>
      </c>
      <c r="N70" s="89">
        <f>N71+N73</f>
        <v>0</v>
      </c>
    </row>
    <row r="71" spans="1:14" ht="13.5" thickBot="1" x14ac:dyDescent="0.25">
      <c r="A71" s="977"/>
      <c r="B71" s="1018"/>
      <c r="C71" s="71"/>
      <c r="D71" s="71" t="s">
        <v>76</v>
      </c>
      <c r="E71" s="71" t="s">
        <v>656</v>
      </c>
      <c r="F71" s="86"/>
      <c r="G71" s="84">
        <f t="shared" si="6"/>
        <v>43</v>
      </c>
      <c r="H71" s="84"/>
      <c r="I71" s="89">
        <f t="shared" si="33"/>
        <v>0</v>
      </c>
      <c r="J71" s="89"/>
      <c r="K71" s="89"/>
      <c r="L71" s="89"/>
      <c r="M71" s="113"/>
      <c r="N71" s="89"/>
    </row>
    <row r="72" spans="1:14" ht="13.5" thickBot="1" x14ac:dyDescent="0.25">
      <c r="A72" s="978"/>
      <c r="B72" s="1019"/>
      <c r="C72" s="71"/>
      <c r="D72" s="71"/>
      <c r="E72" s="86" t="s">
        <v>595</v>
      </c>
      <c r="F72" s="286" t="s">
        <v>596</v>
      </c>
      <c r="G72" s="84"/>
      <c r="H72" s="84"/>
      <c r="I72" s="89">
        <f t="shared" si="33"/>
        <v>0</v>
      </c>
      <c r="J72" s="89"/>
      <c r="K72" s="89"/>
      <c r="L72" s="89"/>
      <c r="M72" s="113"/>
      <c r="N72" s="89"/>
    </row>
    <row r="73" spans="1:14" ht="13.5" thickBot="1" x14ac:dyDescent="0.25">
      <c r="A73" s="978"/>
      <c r="B73" s="1019"/>
      <c r="C73" s="71"/>
      <c r="D73" s="71" t="s">
        <v>99</v>
      </c>
      <c r="E73" s="71" t="s">
        <v>158</v>
      </c>
      <c r="F73" s="86">
        <v>612</v>
      </c>
      <c r="G73" s="84">
        <f>G71+1</f>
        <v>44</v>
      </c>
      <c r="H73" s="84"/>
      <c r="I73" s="89">
        <f t="shared" si="33"/>
        <v>0</v>
      </c>
      <c r="J73" s="89"/>
      <c r="K73" s="89"/>
      <c r="L73" s="89"/>
      <c r="M73" s="113"/>
      <c r="N73" s="89"/>
    </row>
    <row r="74" spans="1:14" ht="13.5" thickBot="1" x14ac:dyDescent="0.25">
      <c r="A74" s="978"/>
      <c r="B74" s="1019"/>
      <c r="C74" s="71" t="s">
        <v>40</v>
      </c>
      <c r="D74" s="973" t="s">
        <v>159</v>
      </c>
      <c r="E74" s="974"/>
      <c r="F74" s="301" t="s">
        <v>597</v>
      </c>
      <c r="G74" s="84">
        <f t="shared" si="6"/>
        <v>45</v>
      </c>
      <c r="H74" s="84"/>
      <c r="I74" s="89">
        <f t="shared" si="33"/>
        <v>450</v>
      </c>
      <c r="J74" s="89">
        <v>100</v>
      </c>
      <c r="K74" s="89">
        <v>100</v>
      </c>
      <c r="L74" s="89">
        <v>100</v>
      </c>
      <c r="M74" s="113">
        <v>150</v>
      </c>
      <c r="N74" s="89"/>
    </row>
    <row r="75" spans="1:14" ht="23.25" customHeight="1" thickBot="1" x14ac:dyDescent="0.25">
      <c r="A75" s="978"/>
      <c r="B75" s="1019"/>
      <c r="C75" s="294" t="s">
        <v>160</v>
      </c>
      <c r="D75" s="986" t="s">
        <v>466</v>
      </c>
      <c r="E75" s="988"/>
      <c r="F75" s="276"/>
      <c r="G75" s="97">
        <f t="shared" si="6"/>
        <v>46</v>
      </c>
      <c r="H75" s="97"/>
      <c r="I75" s="100">
        <f t="shared" ref="I75:M75" si="35">I76+I77+I79+I86+I91+I95+I99+I100+I101+I110</f>
        <v>518376</v>
      </c>
      <c r="J75" s="100">
        <f t="shared" si="35"/>
        <v>132094</v>
      </c>
      <c r="K75" s="100">
        <f t="shared" si="35"/>
        <v>132094</v>
      </c>
      <c r="L75" s="100">
        <f t="shared" si="35"/>
        <v>184094</v>
      </c>
      <c r="M75" s="362">
        <f t="shared" si="35"/>
        <v>70094</v>
      </c>
      <c r="N75" s="100">
        <f t="shared" ref="N75" si="36">N76+N77+N79+N86+N91+N95+N99+N100+N101+N110</f>
        <v>0</v>
      </c>
    </row>
    <row r="76" spans="1:14" ht="13.5" thickBot="1" x14ac:dyDescent="0.25">
      <c r="A76" s="978"/>
      <c r="B76" s="1019"/>
      <c r="C76" s="71" t="s">
        <v>27</v>
      </c>
      <c r="D76" s="1021" t="s">
        <v>161</v>
      </c>
      <c r="E76" s="1022"/>
      <c r="F76" s="302">
        <v>621</v>
      </c>
      <c r="G76" s="84">
        <f t="shared" si="6"/>
        <v>47</v>
      </c>
      <c r="H76" s="84"/>
      <c r="I76" s="242">
        <f>SUM(J76:M76)</f>
        <v>0</v>
      </c>
      <c r="J76" s="101"/>
      <c r="K76" s="101"/>
      <c r="L76" s="101"/>
      <c r="M76" s="363"/>
      <c r="N76" s="101"/>
    </row>
    <row r="77" spans="1:14" ht="13.5" thickBot="1" x14ac:dyDescent="0.25">
      <c r="A77" s="978"/>
      <c r="B77" s="1019"/>
      <c r="C77" s="71" t="s">
        <v>38</v>
      </c>
      <c r="D77" s="1021" t="s">
        <v>162</v>
      </c>
      <c r="E77" s="1022"/>
      <c r="F77" s="302">
        <v>622</v>
      </c>
      <c r="G77" s="84">
        <f t="shared" ref="G77:G140" si="37">G76+1</f>
        <v>48</v>
      </c>
      <c r="H77" s="84"/>
      <c r="I77" s="242">
        <f>SUM(J77:M77)</f>
        <v>0</v>
      </c>
      <c r="J77" s="101"/>
      <c r="K77" s="101"/>
      <c r="L77" s="101"/>
      <c r="M77" s="363"/>
      <c r="N77" s="101"/>
    </row>
    <row r="78" spans="1:14" ht="13.5" thickBot="1" x14ac:dyDescent="0.25">
      <c r="A78" s="978"/>
      <c r="B78" s="1019"/>
      <c r="C78" s="71"/>
      <c r="D78" s="1021" t="s">
        <v>381</v>
      </c>
      <c r="E78" s="1022"/>
      <c r="F78" s="302"/>
      <c r="G78" s="84">
        <f t="shared" si="37"/>
        <v>49</v>
      </c>
      <c r="H78" s="84"/>
      <c r="I78" s="242">
        <f>SUM(J78:M78)</f>
        <v>0</v>
      </c>
      <c r="J78" s="101"/>
      <c r="K78" s="101"/>
      <c r="L78" s="101"/>
      <c r="M78" s="363"/>
      <c r="N78" s="101"/>
    </row>
    <row r="79" spans="1:14" ht="13.5" thickBot="1" x14ac:dyDescent="0.25">
      <c r="A79" s="978"/>
      <c r="B79" s="1019"/>
      <c r="C79" s="71" t="s">
        <v>40</v>
      </c>
      <c r="D79" s="973" t="s">
        <v>432</v>
      </c>
      <c r="E79" s="974"/>
      <c r="F79" s="275"/>
      <c r="G79" s="84">
        <f t="shared" si="37"/>
        <v>50</v>
      </c>
      <c r="H79" s="84"/>
      <c r="I79" s="242">
        <f t="shared" ref="I79:M79" si="38">I80+I82</f>
        <v>0</v>
      </c>
      <c r="J79" s="89">
        <f t="shared" si="38"/>
        <v>0</v>
      </c>
      <c r="K79" s="89">
        <f t="shared" si="38"/>
        <v>0</v>
      </c>
      <c r="L79" s="89">
        <f t="shared" si="38"/>
        <v>0</v>
      </c>
      <c r="M79" s="113">
        <f t="shared" si="38"/>
        <v>0</v>
      </c>
      <c r="N79" s="89">
        <f t="shared" ref="N79" si="39">N80+N82</f>
        <v>0</v>
      </c>
    </row>
    <row r="80" spans="1:14" ht="13.5" thickBot="1" x14ac:dyDescent="0.25">
      <c r="A80" s="978"/>
      <c r="B80" s="1019"/>
      <c r="C80" s="71"/>
      <c r="D80" s="71" t="s">
        <v>278</v>
      </c>
      <c r="E80" s="71" t="s">
        <v>163</v>
      </c>
      <c r="F80" s="86" t="s">
        <v>598</v>
      </c>
      <c r="G80" s="84">
        <f t="shared" si="37"/>
        <v>51</v>
      </c>
      <c r="H80" s="84"/>
      <c r="I80" s="242">
        <f>SUM(J80:M80)</f>
        <v>0</v>
      </c>
      <c r="J80" s="89"/>
      <c r="K80" s="89"/>
      <c r="L80" s="89"/>
      <c r="M80" s="113"/>
      <c r="N80" s="89"/>
    </row>
    <row r="81" spans="1:14" ht="13.5" thickBot="1" x14ac:dyDescent="0.25">
      <c r="A81" s="978"/>
      <c r="B81" s="1019"/>
      <c r="C81" s="71"/>
      <c r="D81" s="71"/>
      <c r="E81" s="71" t="s">
        <v>164</v>
      </c>
      <c r="F81" s="86"/>
      <c r="G81" s="84">
        <f t="shared" si="37"/>
        <v>52</v>
      </c>
      <c r="H81" s="84"/>
      <c r="I81" s="89">
        <f>SUM(J81:M81)</f>
        <v>0</v>
      </c>
      <c r="J81" s="89"/>
      <c r="K81" s="89"/>
      <c r="L81" s="89"/>
      <c r="M81" s="113"/>
      <c r="N81" s="89"/>
    </row>
    <row r="82" spans="1:14" ht="13.5" thickBot="1" x14ac:dyDescent="0.25">
      <c r="A82" s="978"/>
      <c r="B82" s="1019"/>
      <c r="C82" s="71"/>
      <c r="D82" s="71" t="s">
        <v>165</v>
      </c>
      <c r="E82" s="71" t="s">
        <v>166</v>
      </c>
      <c r="F82" s="86" t="s">
        <v>599</v>
      </c>
      <c r="G82" s="84">
        <f t="shared" si="37"/>
        <v>53</v>
      </c>
      <c r="H82" s="84"/>
      <c r="I82" s="89">
        <f>SUM(J82:M82)</f>
        <v>0</v>
      </c>
      <c r="J82" s="89"/>
      <c r="K82" s="89"/>
      <c r="L82" s="89"/>
      <c r="M82" s="113"/>
      <c r="N82" s="89"/>
    </row>
    <row r="83" spans="1:14" ht="23.25" thickBot="1" x14ac:dyDescent="0.25">
      <c r="A83" s="978"/>
      <c r="B83" s="1019"/>
      <c r="C83" s="71"/>
      <c r="D83" s="71"/>
      <c r="E83" s="71" t="s">
        <v>167</v>
      </c>
      <c r="F83" s="86" t="s">
        <v>22</v>
      </c>
      <c r="G83" s="84">
        <f t="shared" si="37"/>
        <v>54</v>
      </c>
      <c r="H83" s="84"/>
      <c r="I83" s="89">
        <f>SUM(J83:M83)</f>
        <v>0</v>
      </c>
      <c r="J83" s="89"/>
      <c r="K83" s="89"/>
      <c r="L83" s="89"/>
      <c r="M83" s="113"/>
      <c r="N83" s="89"/>
    </row>
    <row r="84" spans="1:14" ht="34.5" thickBot="1" x14ac:dyDescent="0.25">
      <c r="A84" s="978"/>
      <c r="B84" s="1019"/>
      <c r="C84" s="71"/>
      <c r="D84" s="71"/>
      <c r="E84" s="71" t="s">
        <v>168</v>
      </c>
      <c r="F84" s="86" t="s">
        <v>22</v>
      </c>
      <c r="G84" s="84">
        <f t="shared" si="37"/>
        <v>55</v>
      </c>
      <c r="H84" s="84"/>
      <c r="I84" s="89">
        <f>SUM(J84:M84)</f>
        <v>0</v>
      </c>
      <c r="J84" s="89"/>
      <c r="K84" s="89"/>
      <c r="L84" s="89"/>
      <c r="M84" s="113"/>
      <c r="N84" s="89"/>
    </row>
    <row r="85" spans="1:14" ht="13.5" thickBot="1" x14ac:dyDescent="0.25">
      <c r="A85" s="978"/>
      <c r="B85" s="1019"/>
      <c r="C85" s="71"/>
      <c r="D85" s="71"/>
      <c r="E85" s="71" t="s">
        <v>169</v>
      </c>
      <c r="F85" s="86" t="s">
        <v>22</v>
      </c>
      <c r="G85" s="84">
        <f t="shared" si="37"/>
        <v>56</v>
      </c>
      <c r="H85" s="84"/>
      <c r="I85" s="242"/>
      <c r="J85" s="89"/>
      <c r="K85" s="89"/>
      <c r="L85" s="89"/>
      <c r="M85" s="113"/>
      <c r="N85" s="89"/>
    </row>
    <row r="86" spans="1:14" ht="13.5" thickBot="1" x14ac:dyDescent="0.25">
      <c r="A86" s="978"/>
      <c r="B86" s="1019"/>
      <c r="C86" s="71" t="s">
        <v>42</v>
      </c>
      <c r="D86" s="973" t="s">
        <v>433</v>
      </c>
      <c r="E86" s="974"/>
      <c r="F86" s="275">
        <v>6582</v>
      </c>
      <c r="G86" s="84">
        <f t="shared" si="37"/>
        <v>57</v>
      </c>
      <c r="H86" s="84"/>
      <c r="I86" s="242">
        <f t="shared" ref="I86:I95" si="40">SUM(J86:M86)</f>
        <v>0</v>
      </c>
      <c r="J86" s="89">
        <f t="shared" ref="J86:M86" si="41">J87+J88+J89+J90</f>
        <v>0</v>
      </c>
      <c r="K86" s="89">
        <f t="shared" si="41"/>
        <v>0</v>
      </c>
      <c r="L86" s="89">
        <f t="shared" si="41"/>
        <v>0</v>
      </c>
      <c r="M86" s="113">
        <f t="shared" si="41"/>
        <v>0</v>
      </c>
      <c r="N86" s="89">
        <f>N87+N88+N89+N90</f>
        <v>0</v>
      </c>
    </row>
    <row r="87" spans="1:14" ht="13.5" thickBot="1" x14ac:dyDescent="0.25">
      <c r="A87" s="978"/>
      <c r="B87" s="1019"/>
      <c r="C87" s="71"/>
      <c r="D87" s="102" t="s">
        <v>170</v>
      </c>
      <c r="E87" s="102" t="s">
        <v>236</v>
      </c>
      <c r="F87" s="290" t="s">
        <v>600</v>
      </c>
      <c r="G87" s="84">
        <f t="shared" si="37"/>
        <v>58</v>
      </c>
      <c r="H87" s="84"/>
      <c r="I87" s="242">
        <f t="shared" si="40"/>
        <v>0</v>
      </c>
      <c r="J87" s="101"/>
      <c r="K87" s="101"/>
      <c r="L87" s="101"/>
      <c r="M87" s="363"/>
      <c r="N87" s="101"/>
    </row>
    <row r="88" spans="1:14" ht="13.5" thickBot="1" x14ac:dyDescent="0.25">
      <c r="A88" s="978"/>
      <c r="B88" s="1019"/>
      <c r="C88" s="71"/>
      <c r="D88" s="102" t="s">
        <v>171</v>
      </c>
      <c r="E88" s="102" t="s">
        <v>382</v>
      </c>
      <c r="F88" s="290" t="s">
        <v>601</v>
      </c>
      <c r="G88" s="84">
        <f t="shared" si="37"/>
        <v>59</v>
      </c>
      <c r="H88" s="84"/>
      <c r="I88" s="242">
        <f t="shared" si="40"/>
        <v>0</v>
      </c>
      <c r="J88" s="101"/>
      <c r="K88" s="101"/>
      <c r="L88" s="101"/>
      <c r="M88" s="363"/>
      <c r="N88" s="101"/>
    </row>
    <row r="89" spans="1:14" ht="13.5" thickBot="1" x14ac:dyDescent="0.25">
      <c r="A89" s="978"/>
      <c r="B89" s="1019"/>
      <c r="C89" s="71"/>
      <c r="D89" s="102" t="s">
        <v>172</v>
      </c>
      <c r="E89" s="102" t="s">
        <v>383</v>
      </c>
      <c r="F89" s="290" t="s">
        <v>602</v>
      </c>
      <c r="G89" s="84">
        <f t="shared" si="37"/>
        <v>60</v>
      </c>
      <c r="H89" s="84"/>
      <c r="I89" s="242">
        <f t="shared" si="40"/>
        <v>0</v>
      </c>
      <c r="J89" s="101"/>
      <c r="K89" s="101"/>
      <c r="L89" s="101"/>
      <c r="M89" s="363"/>
      <c r="N89" s="101"/>
    </row>
    <row r="90" spans="1:14" ht="13.5" thickBot="1" x14ac:dyDescent="0.25">
      <c r="A90" s="978"/>
      <c r="B90" s="1019"/>
      <c r="C90" s="71"/>
      <c r="D90" s="102" t="s">
        <v>173</v>
      </c>
      <c r="E90" s="102" t="s">
        <v>384</v>
      </c>
      <c r="F90" s="290" t="s">
        <v>603</v>
      </c>
      <c r="G90" s="84">
        <f t="shared" si="37"/>
        <v>61</v>
      </c>
      <c r="H90" s="84"/>
      <c r="I90" s="242">
        <f t="shared" si="40"/>
        <v>0</v>
      </c>
      <c r="J90" s="101"/>
      <c r="K90" s="101"/>
      <c r="L90" s="101"/>
      <c r="M90" s="363"/>
      <c r="N90" s="101"/>
    </row>
    <row r="91" spans="1:14" ht="13.5" thickBot="1" x14ac:dyDescent="0.25">
      <c r="A91" s="978"/>
      <c r="B91" s="1019"/>
      <c r="C91" s="71" t="s">
        <v>28</v>
      </c>
      <c r="D91" s="973" t="s">
        <v>174</v>
      </c>
      <c r="E91" s="974"/>
      <c r="F91" s="275">
        <v>624</v>
      </c>
      <c r="G91" s="84">
        <f t="shared" si="37"/>
        <v>62</v>
      </c>
      <c r="H91" s="84"/>
      <c r="I91" s="242">
        <f t="shared" si="40"/>
        <v>0</v>
      </c>
      <c r="J91" s="101">
        <f t="shared" ref="J91:M91" si="42">SUM(J92:J94)</f>
        <v>0</v>
      </c>
      <c r="K91" s="101">
        <f t="shared" si="42"/>
        <v>0</v>
      </c>
      <c r="L91" s="101">
        <f t="shared" si="42"/>
        <v>0</v>
      </c>
      <c r="M91" s="363">
        <f t="shared" si="42"/>
        <v>0</v>
      </c>
      <c r="N91" s="101">
        <f>SUM(N92:N94)</f>
        <v>0</v>
      </c>
    </row>
    <row r="92" spans="1:14" ht="13.5" thickBot="1" x14ac:dyDescent="0.25">
      <c r="A92" s="978"/>
      <c r="B92" s="1019"/>
      <c r="C92" s="71"/>
      <c r="D92" s="973" t="s">
        <v>604</v>
      </c>
      <c r="E92" s="974"/>
      <c r="F92" s="303" t="s">
        <v>605</v>
      </c>
      <c r="G92" s="84"/>
      <c r="H92" s="84"/>
      <c r="I92" s="242">
        <f t="shared" si="40"/>
        <v>0</v>
      </c>
      <c r="J92" s="101"/>
      <c r="K92" s="101"/>
      <c r="L92" s="101"/>
      <c r="M92" s="363"/>
      <c r="N92" s="101"/>
    </row>
    <row r="93" spans="1:14" ht="13.5" thickBot="1" x14ac:dyDescent="0.25">
      <c r="A93" s="978"/>
      <c r="B93" s="1019"/>
      <c r="C93" s="71"/>
      <c r="D93" s="973" t="s">
        <v>606</v>
      </c>
      <c r="E93" s="974"/>
      <c r="F93" s="303" t="s">
        <v>607</v>
      </c>
      <c r="G93" s="84"/>
      <c r="H93" s="84"/>
      <c r="I93" s="242">
        <f t="shared" si="40"/>
        <v>0</v>
      </c>
      <c r="J93" s="101"/>
      <c r="K93" s="101"/>
      <c r="L93" s="101"/>
      <c r="M93" s="363"/>
      <c r="N93" s="101"/>
    </row>
    <row r="94" spans="1:14" ht="13.5" thickBot="1" x14ac:dyDescent="0.25">
      <c r="A94" s="978"/>
      <c r="B94" s="1019"/>
      <c r="C94" s="71"/>
      <c r="D94" s="973" t="s">
        <v>608</v>
      </c>
      <c r="E94" s="974"/>
      <c r="F94" s="303">
        <v>624</v>
      </c>
      <c r="G94" s="84"/>
      <c r="H94" s="84"/>
      <c r="I94" s="242">
        <f t="shared" si="40"/>
        <v>0</v>
      </c>
      <c r="J94" s="101"/>
      <c r="K94" s="101"/>
      <c r="L94" s="101"/>
      <c r="M94" s="363"/>
      <c r="N94" s="101"/>
    </row>
    <row r="95" spans="1:14" ht="13.5" thickBot="1" x14ac:dyDescent="0.25">
      <c r="A95" s="978"/>
      <c r="B95" s="1019"/>
      <c r="C95" s="71" t="s">
        <v>34</v>
      </c>
      <c r="D95" s="973" t="s">
        <v>175</v>
      </c>
      <c r="E95" s="974"/>
      <c r="F95" s="275">
        <v>625</v>
      </c>
      <c r="G95" s="84">
        <f>G91+1</f>
        <v>63</v>
      </c>
      <c r="H95" s="84"/>
      <c r="I95" s="242">
        <f t="shared" si="40"/>
        <v>0</v>
      </c>
      <c r="J95" s="89"/>
      <c r="K95" s="89"/>
      <c r="L95" s="89"/>
      <c r="M95" s="113"/>
      <c r="N95" s="89"/>
    </row>
    <row r="96" spans="1:14" ht="13.5" thickBot="1" x14ac:dyDescent="0.25">
      <c r="A96" s="978"/>
      <c r="B96" s="1019"/>
      <c r="C96" s="71"/>
      <c r="D96" s="973" t="s">
        <v>467</v>
      </c>
      <c r="E96" s="974"/>
      <c r="F96" s="275">
        <v>625</v>
      </c>
      <c r="G96" s="84">
        <f t="shared" si="37"/>
        <v>64</v>
      </c>
      <c r="H96" s="84"/>
      <c r="I96" s="242">
        <f t="shared" ref="I96:M96" si="43">I97+I98</f>
        <v>0</v>
      </c>
      <c r="J96" s="89">
        <f t="shared" si="43"/>
        <v>0</v>
      </c>
      <c r="K96" s="89">
        <f t="shared" si="43"/>
        <v>0</v>
      </c>
      <c r="L96" s="89">
        <f t="shared" si="43"/>
        <v>0</v>
      </c>
      <c r="M96" s="113">
        <f t="shared" si="43"/>
        <v>0</v>
      </c>
      <c r="N96" s="89">
        <f t="shared" ref="N96" si="44">N97+N98</f>
        <v>0</v>
      </c>
    </row>
    <row r="97" spans="1:14" ht="13.5" thickBot="1" x14ac:dyDescent="0.25">
      <c r="A97" s="978"/>
      <c r="B97" s="1019"/>
      <c r="C97" s="71"/>
      <c r="D97" s="1021" t="s">
        <v>385</v>
      </c>
      <c r="E97" s="1022"/>
      <c r="F97" s="302" t="s">
        <v>609</v>
      </c>
      <c r="G97" s="84">
        <f t="shared" si="37"/>
        <v>65</v>
      </c>
      <c r="H97" s="84"/>
      <c r="I97" s="101">
        <f t="shared" ref="I97:I114" si="45">SUM(J97:M97)</f>
        <v>0</v>
      </c>
      <c r="J97" s="101"/>
      <c r="K97" s="101"/>
      <c r="L97" s="101"/>
      <c r="M97" s="363"/>
      <c r="N97" s="101"/>
    </row>
    <row r="98" spans="1:14" ht="13.5" thickBot="1" x14ac:dyDescent="0.25">
      <c r="A98" s="978"/>
      <c r="B98" s="1019"/>
      <c r="C98" s="71"/>
      <c r="D98" s="1021" t="s">
        <v>386</v>
      </c>
      <c r="E98" s="1022"/>
      <c r="F98" s="302" t="s">
        <v>610</v>
      </c>
      <c r="G98" s="84">
        <f t="shared" si="37"/>
        <v>66</v>
      </c>
      <c r="H98" s="84"/>
      <c r="I98" s="242">
        <f t="shared" si="45"/>
        <v>0</v>
      </c>
      <c r="J98" s="101"/>
      <c r="K98" s="101"/>
      <c r="L98" s="101"/>
      <c r="M98" s="363"/>
      <c r="N98" s="101"/>
    </row>
    <row r="99" spans="1:14" ht="13.5" thickBot="1" x14ac:dyDescent="0.25">
      <c r="A99" s="978"/>
      <c r="B99" s="1019"/>
      <c r="C99" s="71" t="s">
        <v>35</v>
      </c>
      <c r="D99" s="973" t="s">
        <v>177</v>
      </c>
      <c r="E99" s="974"/>
      <c r="F99" s="275">
        <v>626</v>
      </c>
      <c r="G99" s="84">
        <f t="shared" si="37"/>
        <v>67</v>
      </c>
      <c r="H99" s="84"/>
      <c r="I99" s="242">
        <f t="shared" si="45"/>
        <v>36</v>
      </c>
      <c r="J99" s="89">
        <v>9</v>
      </c>
      <c r="K99" s="89">
        <v>9</v>
      </c>
      <c r="L99" s="89">
        <v>9</v>
      </c>
      <c r="M99" s="113">
        <v>9</v>
      </c>
      <c r="N99" s="89"/>
    </row>
    <row r="100" spans="1:14" ht="13.5" thickBot="1" x14ac:dyDescent="0.25">
      <c r="A100" s="978"/>
      <c r="B100" s="1019"/>
      <c r="C100" s="71" t="s">
        <v>178</v>
      </c>
      <c r="D100" s="973" t="s">
        <v>179</v>
      </c>
      <c r="E100" s="974"/>
      <c r="F100" s="275">
        <v>627</v>
      </c>
      <c r="G100" s="84">
        <f t="shared" si="37"/>
        <v>68</v>
      </c>
      <c r="H100" s="84"/>
      <c r="I100" s="242">
        <f t="shared" si="45"/>
        <v>0</v>
      </c>
      <c r="J100" s="89"/>
      <c r="K100" s="89"/>
      <c r="L100" s="89"/>
      <c r="M100" s="113"/>
      <c r="N100" s="89"/>
    </row>
    <row r="101" spans="1:14" ht="13.5" thickBot="1" x14ac:dyDescent="0.25">
      <c r="A101" s="978"/>
      <c r="B101" s="1019"/>
      <c r="C101" s="71" t="s">
        <v>180</v>
      </c>
      <c r="D101" s="973" t="s">
        <v>181</v>
      </c>
      <c r="E101" s="974"/>
      <c r="F101" s="275" t="s">
        <v>611</v>
      </c>
      <c r="G101" s="84">
        <f t="shared" si="37"/>
        <v>69</v>
      </c>
      <c r="H101" s="84"/>
      <c r="I101" s="242">
        <f t="shared" si="45"/>
        <v>377340</v>
      </c>
      <c r="J101" s="89">
        <f t="shared" ref="J101:M101" si="46">SUM(J102:J109)-J106</f>
        <v>109085</v>
      </c>
      <c r="K101" s="89">
        <f t="shared" si="46"/>
        <v>109085</v>
      </c>
      <c r="L101" s="89">
        <f t="shared" si="46"/>
        <v>109085</v>
      </c>
      <c r="M101" s="113">
        <f t="shared" si="46"/>
        <v>50085</v>
      </c>
      <c r="N101" s="89">
        <f>SUM(N102:N109)-N106</f>
        <v>0</v>
      </c>
    </row>
    <row r="102" spans="1:14" ht="13.5" thickBot="1" x14ac:dyDescent="0.25">
      <c r="A102" s="978"/>
      <c r="B102" s="1019"/>
      <c r="C102" s="71"/>
      <c r="D102" s="71" t="s">
        <v>56</v>
      </c>
      <c r="E102" s="71" t="s">
        <v>182</v>
      </c>
      <c r="F102" s="86" t="s">
        <v>612</v>
      </c>
      <c r="G102" s="84">
        <f t="shared" si="37"/>
        <v>70</v>
      </c>
      <c r="H102" s="84"/>
      <c r="I102" s="242">
        <f t="shared" si="45"/>
        <v>0</v>
      </c>
      <c r="J102" s="89"/>
      <c r="K102" s="89"/>
      <c r="L102" s="89"/>
      <c r="M102" s="113"/>
      <c r="N102" s="89"/>
    </row>
    <row r="103" spans="1:14" ht="13.5" thickBot="1" x14ac:dyDescent="0.25">
      <c r="A103" s="978"/>
      <c r="B103" s="1019"/>
      <c r="C103" s="71"/>
      <c r="D103" s="71" t="s">
        <v>57</v>
      </c>
      <c r="E103" s="71" t="s">
        <v>229</v>
      </c>
      <c r="F103" s="86" t="s">
        <v>613</v>
      </c>
      <c r="G103" s="84">
        <f t="shared" si="37"/>
        <v>71</v>
      </c>
      <c r="H103" s="84"/>
      <c r="I103" s="242">
        <f t="shared" si="45"/>
        <v>0</v>
      </c>
      <c r="J103" s="89"/>
      <c r="K103" s="89"/>
      <c r="L103" s="89"/>
      <c r="M103" s="113"/>
      <c r="N103" s="89"/>
    </row>
    <row r="104" spans="1:14" ht="13.5" thickBot="1" x14ac:dyDescent="0.25">
      <c r="A104" s="978"/>
      <c r="B104" s="1019"/>
      <c r="C104" s="71"/>
      <c r="D104" s="71" t="s">
        <v>58</v>
      </c>
      <c r="E104" s="71" t="s">
        <v>183</v>
      </c>
      <c r="F104" s="86">
        <v>614</v>
      </c>
      <c r="G104" s="84">
        <f t="shared" si="37"/>
        <v>72</v>
      </c>
      <c r="H104" s="84"/>
      <c r="I104" s="242">
        <f t="shared" si="45"/>
        <v>340</v>
      </c>
      <c r="J104" s="89">
        <v>85</v>
      </c>
      <c r="K104" s="89">
        <v>85</v>
      </c>
      <c r="L104" s="89">
        <v>85</v>
      </c>
      <c r="M104" s="113">
        <v>85</v>
      </c>
      <c r="N104" s="89"/>
    </row>
    <row r="105" spans="1:14" ht="23.25" thickBot="1" x14ac:dyDescent="0.25">
      <c r="A105" s="978"/>
      <c r="B105" s="1019"/>
      <c r="C105" s="71"/>
      <c r="D105" s="71" t="s">
        <v>59</v>
      </c>
      <c r="E105" s="71" t="s">
        <v>184</v>
      </c>
      <c r="F105" s="86" t="s">
        <v>614</v>
      </c>
      <c r="G105" s="84">
        <f t="shared" si="37"/>
        <v>73</v>
      </c>
      <c r="H105" s="84"/>
      <c r="I105" s="242">
        <f t="shared" si="45"/>
        <v>0</v>
      </c>
      <c r="J105" s="89"/>
      <c r="K105" s="89"/>
      <c r="L105" s="89"/>
      <c r="M105" s="113"/>
      <c r="N105" s="89"/>
    </row>
    <row r="106" spans="1:14" ht="13.5" thickBot="1" x14ac:dyDescent="0.25">
      <c r="A106" s="978"/>
      <c r="B106" s="1019"/>
      <c r="C106" s="71"/>
      <c r="D106" s="71"/>
      <c r="E106" s="71" t="s">
        <v>387</v>
      </c>
      <c r="F106" s="86"/>
      <c r="G106" s="84">
        <f t="shared" si="37"/>
        <v>74</v>
      </c>
      <c r="H106" s="84"/>
      <c r="I106" s="242">
        <f t="shared" si="45"/>
        <v>0</v>
      </c>
      <c r="J106" s="89"/>
      <c r="K106" s="89"/>
      <c r="L106" s="89"/>
      <c r="M106" s="113"/>
      <c r="N106" s="89"/>
    </row>
    <row r="107" spans="1:14" ht="13.5" thickBot="1" x14ac:dyDescent="0.25">
      <c r="A107" s="978"/>
      <c r="B107" s="1019"/>
      <c r="C107" s="71"/>
      <c r="D107" s="71" t="s">
        <v>60</v>
      </c>
      <c r="E107" s="71" t="s">
        <v>545</v>
      </c>
      <c r="F107" s="86" t="s">
        <v>615</v>
      </c>
      <c r="G107" s="84">
        <f t="shared" si="37"/>
        <v>75</v>
      </c>
      <c r="H107" s="84"/>
      <c r="I107" s="242">
        <f t="shared" si="45"/>
        <v>377000</v>
      </c>
      <c r="J107" s="89">
        <v>109000</v>
      </c>
      <c r="K107" s="89">
        <v>109000</v>
      </c>
      <c r="L107" s="89">
        <v>109000</v>
      </c>
      <c r="M107" s="113">
        <v>50000</v>
      </c>
      <c r="N107" s="89"/>
    </row>
    <row r="108" spans="1:14" ht="23.25" thickBot="1" x14ac:dyDescent="0.25">
      <c r="A108" s="978"/>
      <c r="B108" s="1019"/>
      <c r="C108" s="71"/>
      <c r="D108" s="71" t="s">
        <v>61</v>
      </c>
      <c r="E108" s="71" t="s">
        <v>185</v>
      </c>
      <c r="F108" s="86" t="s">
        <v>22</v>
      </c>
      <c r="G108" s="84">
        <f t="shared" si="37"/>
        <v>76</v>
      </c>
      <c r="H108" s="84"/>
      <c r="I108" s="242">
        <f t="shared" si="45"/>
        <v>0</v>
      </c>
      <c r="J108" s="242"/>
      <c r="K108" s="89"/>
      <c r="L108" s="89"/>
      <c r="M108" s="113"/>
      <c r="N108" s="89"/>
    </row>
    <row r="109" spans="1:14" ht="13.5" thickBot="1" x14ac:dyDescent="0.25">
      <c r="A109" s="978"/>
      <c r="B109" s="1019"/>
      <c r="C109" s="71"/>
      <c r="D109" s="71" t="s">
        <v>62</v>
      </c>
      <c r="E109" s="71" t="s">
        <v>186</v>
      </c>
      <c r="F109" s="86" t="s">
        <v>616</v>
      </c>
      <c r="G109" s="84">
        <f t="shared" si="37"/>
        <v>77</v>
      </c>
      <c r="H109" s="84"/>
      <c r="I109" s="242">
        <f t="shared" si="45"/>
        <v>0</v>
      </c>
      <c r="J109" s="89"/>
      <c r="K109" s="89"/>
      <c r="L109" s="89"/>
      <c r="M109" s="113"/>
      <c r="N109" s="89"/>
    </row>
    <row r="110" spans="1:14" ht="13.5" thickBot="1" x14ac:dyDescent="0.25">
      <c r="A110" s="978"/>
      <c r="B110" s="1019"/>
      <c r="C110" s="71" t="s">
        <v>344</v>
      </c>
      <c r="D110" s="973" t="s">
        <v>149</v>
      </c>
      <c r="E110" s="974"/>
      <c r="F110" s="275">
        <f>SUM(F111:F114)</f>
        <v>0</v>
      </c>
      <c r="G110" s="84">
        <f t="shared" si="37"/>
        <v>78</v>
      </c>
      <c r="H110" s="84"/>
      <c r="I110" s="242">
        <f t="shared" si="45"/>
        <v>141000</v>
      </c>
      <c r="J110" s="89">
        <f t="shared" ref="J110:M110" si="47">SUM(J111:J114)</f>
        <v>23000</v>
      </c>
      <c r="K110" s="89">
        <f t="shared" si="47"/>
        <v>23000</v>
      </c>
      <c r="L110" s="89">
        <f t="shared" si="47"/>
        <v>75000</v>
      </c>
      <c r="M110" s="113">
        <f t="shared" si="47"/>
        <v>20000</v>
      </c>
      <c r="N110" s="89">
        <f>SUM(N111:N114)</f>
        <v>0</v>
      </c>
    </row>
    <row r="111" spans="1:14" ht="13.5" thickBot="1" x14ac:dyDescent="0.25">
      <c r="A111" s="978"/>
      <c r="B111" s="1019"/>
      <c r="C111" s="278"/>
      <c r="D111" s="304"/>
      <c r="E111" s="279" t="s">
        <v>617</v>
      </c>
      <c r="F111" s="296" t="s">
        <v>618</v>
      </c>
      <c r="G111" s="84"/>
      <c r="H111" s="84"/>
      <c r="I111" s="242">
        <f t="shared" si="45"/>
        <v>0</v>
      </c>
      <c r="J111" s="89"/>
      <c r="K111" s="89"/>
      <c r="L111" s="89"/>
      <c r="M111" s="113"/>
      <c r="N111" s="89"/>
    </row>
    <row r="112" spans="1:14" ht="13.5" thickBot="1" x14ac:dyDescent="0.25">
      <c r="A112" s="978"/>
      <c r="B112" s="1019"/>
      <c r="C112" s="278"/>
      <c r="D112" s="304"/>
      <c r="E112" s="279" t="s">
        <v>619</v>
      </c>
      <c r="F112" s="296" t="s">
        <v>620</v>
      </c>
      <c r="G112" s="84"/>
      <c r="H112" s="84"/>
      <c r="I112" s="242">
        <f t="shared" si="45"/>
        <v>0</v>
      </c>
      <c r="J112" s="89"/>
      <c r="K112" s="89"/>
      <c r="L112" s="89"/>
      <c r="M112" s="113"/>
      <c r="N112" s="89"/>
    </row>
    <row r="113" spans="1:14" ht="13.5" thickBot="1" x14ac:dyDescent="0.25">
      <c r="A113" s="978"/>
      <c r="B113" s="1019"/>
      <c r="C113" s="278"/>
      <c r="D113" s="304"/>
      <c r="E113" s="279" t="s">
        <v>621</v>
      </c>
      <c r="F113" s="305" t="s">
        <v>622</v>
      </c>
      <c r="G113" s="84"/>
      <c r="H113" s="84"/>
      <c r="I113" s="242">
        <f t="shared" si="45"/>
        <v>0</v>
      </c>
      <c r="J113" s="89"/>
      <c r="K113" s="89"/>
      <c r="L113" s="89"/>
      <c r="M113" s="113"/>
      <c r="N113" s="89"/>
    </row>
    <row r="114" spans="1:14" ht="23.25" thickBot="1" x14ac:dyDescent="0.25">
      <c r="A114" s="978"/>
      <c r="B114" s="1019"/>
      <c r="C114" s="278"/>
      <c r="D114" s="304"/>
      <c r="E114" s="279" t="s">
        <v>623</v>
      </c>
      <c r="F114" s="296" t="s">
        <v>624</v>
      </c>
      <c r="G114" s="84"/>
      <c r="H114" s="84"/>
      <c r="I114" s="242">
        <f t="shared" si="45"/>
        <v>141000</v>
      </c>
      <c r="J114" s="89">
        <v>23000</v>
      </c>
      <c r="K114" s="89">
        <v>23000</v>
      </c>
      <c r="L114" s="89">
        <v>75000</v>
      </c>
      <c r="M114" s="113">
        <v>20000</v>
      </c>
      <c r="N114" s="89"/>
    </row>
    <row r="115" spans="1:14" ht="24" customHeight="1" thickBot="1" x14ac:dyDescent="0.25">
      <c r="A115" s="978"/>
      <c r="B115" s="1019"/>
      <c r="C115" s="1026" t="s">
        <v>468</v>
      </c>
      <c r="D115" s="1027"/>
      <c r="E115" s="1028"/>
      <c r="F115" s="277"/>
      <c r="G115" s="97">
        <f>G110+1</f>
        <v>79</v>
      </c>
      <c r="H115" s="97"/>
      <c r="I115" s="98">
        <f t="shared" ref="I115:M115" si="48">I116+I117+I118+I119+I120+I121</f>
        <v>325891</v>
      </c>
      <c r="J115" s="98">
        <f t="shared" si="48"/>
        <v>36530</v>
      </c>
      <c r="K115" s="98">
        <f t="shared" si="48"/>
        <v>41530</v>
      </c>
      <c r="L115" s="98">
        <f t="shared" si="48"/>
        <v>141530</v>
      </c>
      <c r="M115" s="361">
        <f t="shared" si="48"/>
        <v>106301</v>
      </c>
      <c r="N115" s="98">
        <f t="shared" ref="N115" si="49">N116+N117+N118+N119+N120+N121</f>
        <v>0</v>
      </c>
    </row>
    <row r="116" spans="1:14" ht="20.25" customHeight="1" thickBot="1" x14ac:dyDescent="0.25">
      <c r="A116" s="978"/>
      <c r="B116" s="1019"/>
      <c r="C116" s="71" t="s">
        <v>27</v>
      </c>
      <c r="D116" s="973" t="s">
        <v>188</v>
      </c>
      <c r="E116" s="974"/>
      <c r="F116" s="275" t="s">
        <v>22</v>
      </c>
      <c r="G116" s="84">
        <f t="shared" si="37"/>
        <v>80</v>
      </c>
      <c r="H116" s="84"/>
      <c r="I116" s="89">
        <f t="shared" ref="I116:I130" si="50">SUM(J116:M116)</f>
        <v>0</v>
      </c>
      <c r="J116" s="89"/>
      <c r="K116" s="89"/>
      <c r="L116" s="89"/>
      <c r="M116" s="113"/>
      <c r="N116" s="89"/>
    </row>
    <row r="117" spans="1:14" ht="13.5" thickBot="1" x14ac:dyDescent="0.25">
      <c r="A117" s="978"/>
      <c r="B117" s="1019"/>
      <c r="C117" s="71" t="s">
        <v>38</v>
      </c>
      <c r="D117" s="973" t="s">
        <v>388</v>
      </c>
      <c r="E117" s="974"/>
      <c r="F117" s="275" t="s">
        <v>625</v>
      </c>
      <c r="G117" s="84">
        <f t="shared" si="37"/>
        <v>81</v>
      </c>
      <c r="H117" s="84"/>
      <c r="I117" s="758">
        <f t="shared" si="50"/>
        <v>299167</v>
      </c>
      <c r="J117" s="758">
        <v>30000</v>
      </c>
      <c r="K117" s="758">
        <v>35000</v>
      </c>
      <c r="L117" s="758">
        <f>35000+100000</f>
        <v>135000</v>
      </c>
      <c r="M117" s="759">
        <f>35000+64167</f>
        <v>99167</v>
      </c>
      <c r="N117" s="89"/>
    </row>
    <row r="118" spans="1:14" ht="13.5" thickBot="1" x14ac:dyDescent="0.25">
      <c r="A118" s="978"/>
      <c r="B118" s="1019"/>
      <c r="C118" s="71" t="s">
        <v>40</v>
      </c>
      <c r="D118" s="973" t="s">
        <v>41</v>
      </c>
      <c r="E118" s="974"/>
      <c r="F118" s="275" t="s">
        <v>626</v>
      </c>
      <c r="G118" s="84">
        <f t="shared" si="37"/>
        <v>82</v>
      </c>
      <c r="H118" s="84"/>
      <c r="I118" s="89">
        <f t="shared" si="50"/>
        <v>0</v>
      </c>
      <c r="J118" s="89"/>
      <c r="K118" s="89"/>
      <c r="L118" s="89"/>
      <c r="M118" s="113"/>
      <c r="N118" s="89"/>
    </row>
    <row r="119" spans="1:14" ht="13.5" thickBot="1" x14ac:dyDescent="0.25">
      <c r="A119" s="979"/>
      <c r="B119" s="1020"/>
      <c r="C119" s="71" t="s">
        <v>42</v>
      </c>
      <c r="D119" s="973" t="s">
        <v>43</v>
      </c>
      <c r="E119" s="974"/>
      <c r="F119" s="275" t="s">
        <v>627</v>
      </c>
      <c r="G119" s="84">
        <f t="shared" si="37"/>
        <v>83</v>
      </c>
      <c r="H119" s="84"/>
      <c r="I119" s="89">
        <f t="shared" si="50"/>
        <v>12900</v>
      </c>
      <c r="J119" s="89">
        <v>3100</v>
      </c>
      <c r="K119" s="89">
        <v>3100</v>
      </c>
      <c r="L119" s="89">
        <v>3100</v>
      </c>
      <c r="M119" s="113">
        <v>3600</v>
      </c>
      <c r="N119" s="89"/>
    </row>
    <row r="120" spans="1:14" ht="13.5" thickBot="1" x14ac:dyDescent="0.25">
      <c r="A120" s="977"/>
      <c r="B120" s="1018"/>
      <c r="C120" s="71" t="s">
        <v>28</v>
      </c>
      <c r="D120" s="973" t="s">
        <v>44</v>
      </c>
      <c r="E120" s="974"/>
      <c r="F120" s="275" t="s">
        <v>628</v>
      </c>
      <c r="G120" s="84">
        <f t="shared" si="37"/>
        <v>84</v>
      </c>
      <c r="H120" s="84"/>
      <c r="I120" s="89">
        <f t="shared" si="50"/>
        <v>0</v>
      </c>
      <c r="J120" s="89"/>
      <c r="K120" s="89"/>
      <c r="L120" s="89"/>
      <c r="M120" s="113"/>
      <c r="N120" s="89"/>
    </row>
    <row r="121" spans="1:14" ht="13.5" thickBot="1" x14ac:dyDescent="0.25">
      <c r="A121" s="978"/>
      <c r="B121" s="1019"/>
      <c r="C121" s="71" t="s">
        <v>34</v>
      </c>
      <c r="D121" s="1029" t="s">
        <v>45</v>
      </c>
      <c r="E121" s="1032"/>
      <c r="F121" s="275" t="s">
        <v>629</v>
      </c>
      <c r="G121" s="84">
        <f t="shared" si="37"/>
        <v>85</v>
      </c>
      <c r="H121" s="84"/>
      <c r="I121" s="89">
        <f t="shared" si="50"/>
        <v>13824</v>
      </c>
      <c r="J121" s="89">
        <f t="shared" ref="J121:M121" si="51">SUM(J122:J130)</f>
        <v>3430</v>
      </c>
      <c r="K121" s="89">
        <f t="shared" si="51"/>
        <v>3430</v>
      </c>
      <c r="L121" s="89">
        <f t="shared" si="51"/>
        <v>3430</v>
      </c>
      <c r="M121" s="113">
        <f t="shared" si="51"/>
        <v>3534</v>
      </c>
      <c r="N121" s="89">
        <f>SUM(N122:N130)</f>
        <v>0</v>
      </c>
    </row>
    <row r="122" spans="1:14" ht="13.5" thickBot="1" x14ac:dyDescent="0.25">
      <c r="A122" s="978"/>
      <c r="B122" s="1019"/>
      <c r="C122" s="278"/>
      <c r="D122" s="278"/>
      <c r="E122" s="279" t="s">
        <v>630</v>
      </c>
      <c r="F122" s="296" t="s">
        <v>631</v>
      </c>
      <c r="G122" s="84"/>
      <c r="H122" s="84"/>
      <c r="I122" s="89">
        <f t="shared" si="50"/>
        <v>2500</v>
      </c>
      <c r="J122" s="89">
        <v>600</v>
      </c>
      <c r="K122" s="89">
        <v>600</v>
      </c>
      <c r="L122" s="89">
        <v>600</v>
      </c>
      <c r="M122" s="113">
        <v>700</v>
      </c>
      <c r="N122" s="89"/>
    </row>
    <row r="123" spans="1:14" ht="13.5" thickBot="1" x14ac:dyDescent="0.25">
      <c r="A123" s="978"/>
      <c r="B123" s="1019"/>
      <c r="C123" s="278"/>
      <c r="D123" s="278"/>
      <c r="E123" s="279" t="s">
        <v>632</v>
      </c>
      <c r="F123" s="296" t="s">
        <v>633</v>
      </c>
      <c r="G123" s="84"/>
      <c r="H123" s="84"/>
      <c r="I123" s="89">
        <f t="shared" si="50"/>
        <v>0</v>
      </c>
      <c r="J123" s="89"/>
      <c r="K123" s="89"/>
      <c r="L123" s="89"/>
      <c r="M123" s="113"/>
      <c r="N123" s="89"/>
    </row>
    <row r="124" spans="1:14" ht="13.5" thickBot="1" x14ac:dyDescent="0.25">
      <c r="A124" s="978"/>
      <c r="B124" s="1019"/>
      <c r="C124" s="278"/>
      <c r="D124" s="278"/>
      <c r="E124" s="279" t="s">
        <v>634</v>
      </c>
      <c r="F124" s="296" t="s">
        <v>635</v>
      </c>
      <c r="G124" s="84"/>
      <c r="H124" s="84"/>
      <c r="I124" s="89">
        <f t="shared" si="50"/>
        <v>0</v>
      </c>
      <c r="J124" s="89"/>
      <c r="K124" s="89"/>
      <c r="L124" s="89"/>
      <c r="M124" s="113"/>
      <c r="N124" s="89"/>
    </row>
    <row r="125" spans="1:14" ht="13.5" thickBot="1" x14ac:dyDescent="0.25">
      <c r="A125" s="978"/>
      <c r="B125" s="1019"/>
      <c r="C125" s="278"/>
      <c r="D125" s="278"/>
      <c r="E125" s="279" t="s">
        <v>636</v>
      </c>
      <c r="F125" s="296" t="s">
        <v>637</v>
      </c>
      <c r="G125" s="84"/>
      <c r="H125" s="84"/>
      <c r="I125" s="89">
        <f t="shared" si="50"/>
        <v>11200</v>
      </c>
      <c r="J125" s="89">
        <v>2800</v>
      </c>
      <c r="K125" s="89">
        <v>2800</v>
      </c>
      <c r="L125" s="89">
        <v>2800</v>
      </c>
      <c r="M125" s="113">
        <v>2800</v>
      </c>
      <c r="N125" s="89"/>
    </row>
    <row r="126" spans="1:14" ht="13.5" thickBot="1" x14ac:dyDescent="0.25">
      <c r="A126" s="978"/>
      <c r="B126" s="1019"/>
      <c r="C126" s="278"/>
      <c r="D126" s="278"/>
      <c r="E126" s="279" t="s">
        <v>638</v>
      </c>
      <c r="F126" s="296" t="s">
        <v>639</v>
      </c>
      <c r="G126" s="84"/>
      <c r="H126" s="84"/>
      <c r="I126" s="89">
        <f t="shared" si="50"/>
        <v>124</v>
      </c>
      <c r="J126" s="89">
        <v>30</v>
      </c>
      <c r="K126" s="89">
        <v>30</v>
      </c>
      <c r="L126" s="89">
        <v>30</v>
      </c>
      <c r="M126" s="113">
        <v>34</v>
      </c>
      <c r="N126" s="89"/>
    </row>
    <row r="127" spans="1:14" ht="13.5" thickBot="1" x14ac:dyDescent="0.25">
      <c r="A127" s="978"/>
      <c r="B127" s="1019"/>
      <c r="C127" s="278"/>
      <c r="D127" s="278"/>
      <c r="E127" s="279" t="s">
        <v>640</v>
      </c>
      <c r="F127" s="296" t="s">
        <v>641</v>
      </c>
      <c r="G127" s="84"/>
      <c r="H127" s="84"/>
      <c r="I127" s="89">
        <f t="shared" si="50"/>
        <v>0</v>
      </c>
      <c r="J127" s="89"/>
      <c r="K127" s="89"/>
      <c r="L127" s="89"/>
      <c r="M127" s="113"/>
      <c r="N127" s="89"/>
    </row>
    <row r="128" spans="1:14" ht="13.5" thickBot="1" x14ac:dyDescent="0.25">
      <c r="A128" s="978"/>
      <c r="B128" s="1019"/>
      <c r="C128" s="278"/>
      <c r="D128" s="278"/>
      <c r="E128" s="279" t="s">
        <v>642</v>
      </c>
      <c r="F128" s="296" t="s">
        <v>643</v>
      </c>
      <c r="G128" s="84"/>
      <c r="H128" s="84"/>
      <c r="I128" s="89">
        <f t="shared" si="50"/>
        <v>0</v>
      </c>
      <c r="J128" s="89"/>
      <c r="K128" s="89"/>
      <c r="L128" s="89"/>
      <c r="M128" s="113"/>
      <c r="N128" s="89"/>
    </row>
    <row r="129" spans="1:14" ht="13.5" thickBot="1" x14ac:dyDescent="0.25">
      <c r="A129" s="978"/>
      <c r="B129" s="1019"/>
      <c r="C129" s="278"/>
      <c r="D129" s="278"/>
      <c r="E129" s="279" t="s">
        <v>644</v>
      </c>
      <c r="F129" s="296" t="s">
        <v>645</v>
      </c>
      <c r="G129" s="84"/>
      <c r="H129" s="84"/>
      <c r="I129" s="89">
        <f t="shared" si="50"/>
        <v>0</v>
      </c>
      <c r="J129" s="89"/>
      <c r="K129" s="89"/>
      <c r="L129" s="89"/>
      <c r="M129" s="113"/>
      <c r="N129" s="89"/>
    </row>
    <row r="130" spans="1:14" ht="13.5" thickBot="1" x14ac:dyDescent="0.25">
      <c r="A130" s="978"/>
      <c r="B130" s="1019"/>
      <c r="C130" s="278"/>
      <c r="D130" s="278"/>
      <c r="E130" s="279" t="s">
        <v>646</v>
      </c>
      <c r="F130" s="296" t="s">
        <v>647</v>
      </c>
      <c r="G130" s="84"/>
      <c r="H130" s="84"/>
      <c r="I130" s="89">
        <f t="shared" si="50"/>
        <v>0</v>
      </c>
      <c r="J130" s="89"/>
      <c r="K130" s="89"/>
      <c r="L130" s="89"/>
      <c r="M130" s="113"/>
      <c r="N130" s="89"/>
    </row>
    <row r="131" spans="1:14" ht="21" customHeight="1" thickBot="1" x14ac:dyDescent="0.25">
      <c r="A131" s="978"/>
      <c r="B131" s="1019"/>
      <c r="C131" s="1026" t="s">
        <v>474</v>
      </c>
      <c r="D131" s="1027"/>
      <c r="E131" s="1028"/>
      <c r="F131" s="277"/>
      <c r="G131" s="97">
        <f>G121+1</f>
        <v>86</v>
      </c>
      <c r="H131" s="97"/>
      <c r="I131" s="98">
        <f t="shared" ref="I131:M131" si="52">I133+I137+I145+I149+I158</f>
        <v>712872.34597999998</v>
      </c>
      <c r="J131" s="98">
        <f t="shared" si="52"/>
        <v>146907.97544000001</v>
      </c>
      <c r="K131" s="98">
        <f t="shared" si="52"/>
        <v>208645.94464</v>
      </c>
      <c r="L131" s="98">
        <f t="shared" si="52"/>
        <v>173734.65664</v>
      </c>
      <c r="M131" s="361">
        <f t="shared" si="52"/>
        <v>183583.76926</v>
      </c>
      <c r="N131" s="98">
        <f t="shared" ref="N131" si="53">N133+N137+N145+N149+N158</f>
        <v>0</v>
      </c>
    </row>
    <row r="132" spans="1:14" ht="13.5" thickBot="1" x14ac:dyDescent="0.25">
      <c r="A132" s="978"/>
      <c r="B132" s="1019"/>
      <c r="C132" s="306" t="s">
        <v>396</v>
      </c>
      <c r="D132" s="1033" t="s">
        <v>413</v>
      </c>
      <c r="E132" s="1034"/>
      <c r="F132" s="307">
        <v>641</v>
      </c>
      <c r="G132" s="308">
        <f t="shared" si="37"/>
        <v>87</v>
      </c>
      <c r="H132" s="308"/>
      <c r="I132" s="309">
        <f t="shared" ref="I132:M132" si="54">I133+I137</f>
        <v>590736</v>
      </c>
      <c r="J132" s="309">
        <f t="shared" si="54"/>
        <v>121996</v>
      </c>
      <c r="K132" s="309">
        <f t="shared" si="54"/>
        <v>173746</v>
      </c>
      <c r="L132" s="309">
        <f t="shared" si="54"/>
        <v>143215</v>
      </c>
      <c r="M132" s="364">
        <f t="shared" si="54"/>
        <v>151779</v>
      </c>
      <c r="N132" s="309">
        <f t="shared" ref="N132" si="55">N133+N137</f>
        <v>0</v>
      </c>
    </row>
    <row r="133" spans="1:14" ht="20.25" customHeight="1" thickBot="1" x14ac:dyDescent="0.25">
      <c r="A133" s="978"/>
      <c r="B133" s="1019"/>
      <c r="C133" s="293" t="s">
        <v>46</v>
      </c>
      <c r="D133" s="1026" t="s">
        <v>189</v>
      </c>
      <c r="E133" s="1028"/>
      <c r="F133" s="277">
        <v>641</v>
      </c>
      <c r="G133" s="97">
        <f t="shared" si="37"/>
        <v>88</v>
      </c>
      <c r="H133" s="97"/>
      <c r="I133" s="98">
        <f t="shared" ref="I133:M133" si="56">I134+I135+I136</f>
        <v>509857</v>
      </c>
      <c r="J133" s="98">
        <f t="shared" si="56"/>
        <v>109196</v>
      </c>
      <c r="K133" s="98">
        <f t="shared" si="56"/>
        <v>127476</v>
      </c>
      <c r="L133" s="98">
        <f t="shared" si="56"/>
        <v>133776</v>
      </c>
      <c r="M133" s="361">
        <f t="shared" si="56"/>
        <v>139409</v>
      </c>
      <c r="N133" s="98">
        <f t="shared" ref="N133" si="57">N134+N135+N136</f>
        <v>0</v>
      </c>
    </row>
    <row r="134" spans="1:14" ht="13.5" thickBot="1" x14ac:dyDescent="0.25">
      <c r="A134" s="978"/>
      <c r="B134" s="1019"/>
      <c r="C134" s="1018"/>
      <c r="D134" s="973" t="s">
        <v>190</v>
      </c>
      <c r="E134" s="974"/>
      <c r="F134" s="275">
        <v>641</v>
      </c>
      <c r="G134" s="84">
        <f t="shared" si="37"/>
        <v>89</v>
      </c>
      <c r="H134" s="84"/>
      <c r="I134" s="101">
        <f>SUM(J134:M134)</f>
        <v>407246</v>
      </c>
      <c r="J134" s="89">
        <v>98820</v>
      </c>
      <c r="K134" s="89">
        <v>102060</v>
      </c>
      <c r="L134" s="89">
        <v>102060</v>
      </c>
      <c r="M134" s="113">
        <v>104306</v>
      </c>
      <c r="N134" s="89"/>
    </row>
    <row r="135" spans="1:14" ht="24" customHeight="1" thickBot="1" x14ac:dyDescent="0.25">
      <c r="A135" s="978"/>
      <c r="B135" s="1019"/>
      <c r="C135" s="1019"/>
      <c r="D135" s="973" t="s">
        <v>191</v>
      </c>
      <c r="E135" s="974"/>
      <c r="F135" s="275"/>
      <c r="G135" s="84">
        <f t="shared" si="37"/>
        <v>90</v>
      </c>
      <c r="H135" s="84"/>
      <c r="I135" s="101">
        <f>SUM(J135:M135)</f>
        <v>42761</v>
      </c>
      <c r="J135" s="89">
        <v>10376</v>
      </c>
      <c r="K135" s="89">
        <v>10716</v>
      </c>
      <c r="L135" s="89">
        <v>10716</v>
      </c>
      <c r="M135" s="113">
        <v>10953</v>
      </c>
      <c r="N135" s="89"/>
    </row>
    <row r="136" spans="1:14" ht="13.5" thickBot="1" x14ac:dyDescent="0.25">
      <c r="A136" s="978"/>
      <c r="B136" s="1019"/>
      <c r="C136" s="1020"/>
      <c r="D136" s="973" t="s">
        <v>192</v>
      </c>
      <c r="E136" s="974"/>
      <c r="F136" s="275"/>
      <c r="G136" s="84">
        <f t="shared" si="37"/>
        <v>91</v>
      </c>
      <c r="H136" s="84"/>
      <c r="I136" s="101">
        <f>SUM(J136:M136)</f>
        <v>59850</v>
      </c>
      <c r="J136" s="89">
        <v>0</v>
      </c>
      <c r="K136" s="89">
        <v>14700</v>
      </c>
      <c r="L136" s="89">
        <v>21000</v>
      </c>
      <c r="M136" s="113">
        <v>24150</v>
      </c>
      <c r="N136" s="89"/>
    </row>
    <row r="137" spans="1:14" ht="17.25" customHeight="1" thickBot="1" x14ac:dyDescent="0.25">
      <c r="A137" s="978"/>
      <c r="B137" s="1019"/>
      <c r="C137" s="293" t="s">
        <v>67</v>
      </c>
      <c r="D137" s="1026" t="s">
        <v>389</v>
      </c>
      <c r="E137" s="1028"/>
      <c r="F137" s="277"/>
      <c r="G137" s="97">
        <f t="shared" si="37"/>
        <v>92</v>
      </c>
      <c r="H137" s="97"/>
      <c r="I137" s="98">
        <f t="shared" ref="I137:M137" si="58">I138+I141+I142+I143+I144</f>
        <v>80879</v>
      </c>
      <c r="J137" s="98">
        <f t="shared" si="58"/>
        <v>12800</v>
      </c>
      <c r="K137" s="98">
        <f t="shared" si="58"/>
        <v>46270</v>
      </c>
      <c r="L137" s="98">
        <f t="shared" si="58"/>
        <v>9439</v>
      </c>
      <c r="M137" s="361">
        <f t="shared" si="58"/>
        <v>12370</v>
      </c>
      <c r="N137" s="98">
        <f t="shared" ref="N137" si="59">N138+N141+N142+N143+N144</f>
        <v>0</v>
      </c>
    </row>
    <row r="138" spans="1:14" ht="33" customHeight="1" thickBot="1" x14ac:dyDescent="0.25">
      <c r="A138" s="978"/>
      <c r="B138" s="1019"/>
      <c r="C138" s="71"/>
      <c r="D138" s="973" t="s">
        <v>187</v>
      </c>
      <c r="E138" s="974"/>
      <c r="F138" s="275">
        <v>6458</v>
      </c>
      <c r="G138" s="84">
        <f t="shared" si="37"/>
        <v>93</v>
      </c>
      <c r="H138" s="84"/>
      <c r="I138" s="89">
        <f t="shared" ref="I138:I144" si="60">SUM(J138:M138)</f>
        <v>10200</v>
      </c>
      <c r="J138" s="89">
        <v>1000</v>
      </c>
      <c r="K138" s="89">
        <v>8400</v>
      </c>
      <c r="L138" s="89">
        <v>800</v>
      </c>
      <c r="M138" s="113"/>
      <c r="N138" s="89"/>
    </row>
    <row r="139" spans="1:14" ht="13.5" thickBot="1" x14ac:dyDescent="0.25">
      <c r="A139" s="978"/>
      <c r="B139" s="1019"/>
      <c r="C139" s="71"/>
      <c r="D139" s="71"/>
      <c r="E139" s="71" t="s">
        <v>193</v>
      </c>
      <c r="F139" s="86"/>
      <c r="G139" s="84">
        <f t="shared" si="37"/>
        <v>94</v>
      </c>
      <c r="H139" s="84"/>
      <c r="I139" s="89">
        <f t="shared" si="60"/>
        <v>0</v>
      </c>
      <c r="J139" s="89"/>
      <c r="K139" s="89"/>
      <c r="L139" s="89"/>
      <c r="M139" s="113"/>
      <c r="N139" s="89"/>
    </row>
    <row r="140" spans="1:14" ht="23.25" thickBot="1" x14ac:dyDescent="0.25">
      <c r="A140" s="978"/>
      <c r="B140" s="1019"/>
      <c r="C140" s="71"/>
      <c r="D140" s="71"/>
      <c r="E140" s="71" t="s">
        <v>194</v>
      </c>
      <c r="F140" s="86" t="s">
        <v>648</v>
      </c>
      <c r="G140" s="84">
        <f t="shared" si="37"/>
        <v>95</v>
      </c>
      <c r="H140" s="84"/>
      <c r="I140" s="89">
        <f t="shared" si="60"/>
        <v>8400</v>
      </c>
      <c r="J140" s="89"/>
      <c r="K140" s="89">
        <v>8400</v>
      </c>
      <c r="L140" s="89"/>
      <c r="M140" s="113"/>
      <c r="N140" s="89"/>
    </row>
    <row r="141" spans="1:14" ht="13.5" thickBot="1" x14ac:dyDescent="0.25">
      <c r="A141" s="978"/>
      <c r="B141" s="1019"/>
      <c r="C141" s="71"/>
      <c r="D141" s="973" t="s">
        <v>74</v>
      </c>
      <c r="E141" s="974"/>
      <c r="F141" s="275" t="s">
        <v>649</v>
      </c>
      <c r="G141" s="84">
        <f t="shared" ref="G141:G175" si="61">G140+1</f>
        <v>96</v>
      </c>
      <c r="H141" s="84"/>
      <c r="I141" s="89">
        <f t="shared" si="60"/>
        <v>45179</v>
      </c>
      <c r="J141" s="89">
        <v>11800</v>
      </c>
      <c r="K141" s="89">
        <v>12370</v>
      </c>
      <c r="L141" s="89">
        <v>8639</v>
      </c>
      <c r="M141" s="113">
        <v>12370</v>
      </c>
      <c r="N141" s="89"/>
    </row>
    <row r="142" spans="1:14" ht="13.5" thickBot="1" x14ac:dyDescent="0.25">
      <c r="A142" s="978"/>
      <c r="B142" s="1019"/>
      <c r="C142" s="71"/>
      <c r="D142" s="973" t="s">
        <v>195</v>
      </c>
      <c r="E142" s="974"/>
      <c r="F142" s="275"/>
      <c r="G142" s="84">
        <f t="shared" si="61"/>
        <v>97</v>
      </c>
      <c r="H142" s="84"/>
      <c r="I142" s="89">
        <f t="shared" si="60"/>
        <v>0</v>
      </c>
      <c r="J142" s="89"/>
      <c r="K142" s="89"/>
      <c r="L142" s="89"/>
      <c r="M142" s="113"/>
      <c r="N142" s="89"/>
    </row>
    <row r="143" spans="1:14" ht="20.25" customHeight="1" thickBot="1" x14ac:dyDescent="0.25">
      <c r="A143" s="978"/>
      <c r="B143" s="1019"/>
      <c r="C143" s="71"/>
      <c r="D143" s="973" t="s">
        <v>390</v>
      </c>
      <c r="E143" s="974"/>
      <c r="F143" s="275">
        <v>643</v>
      </c>
      <c r="G143" s="84">
        <f t="shared" si="61"/>
        <v>98</v>
      </c>
      <c r="H143" s="84"/>
      <c r="I143" s="89">
        <f t="shared" si="60"/>
        <v>25500</v>
      </c>
      <c r="J143" s="89"/>
      <c r="K143" s="89">
        <v>25500</v>
      </c>
      <c r="L143" s="89"/>
      <c r="M143" s="113"/>
      <c r="N143" s="89"/>
    </row>
    <row r="144" spans="1:14" ht="13.5" thickBot="1" x14ac:dyDescent="0.25">
      <c r="A144" s="978"/>
      <c r="B144" s="1019"/>
      <c r="C144" s="71"/>
      <c r="D144" s="973" t="s">
        <v>196</v>
      </c>
      <c r="E144" s="974"/>
      <c r="F144" s="275"/>
      <c r="G144" s="84">
        <f t="shared" si="61"/>
        <v>99</v>
      </c>
      <c r="H144" s="84"/>
      <c r="I144" s="89">
        <f t="shared" si="60"/>
        <v>0</v>
      </c>
      <c r="J144" s="89"/>
      <c r="K144" s="89"/>
      <c r="L144" s="89"/>
      <c r="M144" s="113"/>
      <c r="N144" s="89"/>
    </row>
    <row r="145" spans="1:14" ht="22.5" customHeight="1" thickBot="1" x14ac:dyDescent="0.25">
      <c r="A145" s="978"/>
      <c r="B145" s="1019"/>
      <c r="C145" s="293" t="s">
        <v>124</v>
      </c>
      <c r="D145" s="1026" t="s">
        <v>197</v>
      </c>
      <c r="E145" s="1028"/>
      <c r="F145" s="277"/>
      <c r="G145" s="97">
        <f t="shared" si="61"/>
        <v>100</v>
      </c>
      <c r="H145" s="97"/>
      <c r="I145" s="98">
        <f t="shared" ref="I145:M145" si="62">I146+I147+I148</f>
        <v>0</v>
      </c>
      <c r="J145" s="98">
        <f t="shared" si="62"/>
        <v>0</v>
      </c>
      <c r="K145" s="98">
        <f t="shared" si="62"/>
        <v>0</v>
      </c>
      <c r="L145" s="98">
        <f t="shared" si="62"/>
        <v>0</v>
      </c>
      <c r="M145" s="361">
        <f t="shared" si="62"/>
        <v>0</v>
      </c>
      <c r="N145" s="98">
        <f t="shared" ref="N145" si="63">N146+N147+N148</f>
        <v>0</v>
      </c>
    </row>
    <row r="146" spans="1:14" ht="21.75" customHeight="1" thickBot="1" x14ac:dyDescent="0.25">
      <c r="A146" s="978"/>
      <c r="B146" s="1019"/>
      <c r="C146" s="71"/>
      <c r="D146" s="973" t="s">
        <v>198</v>
      </c>
      <c r="E146" s="974"/>
      <c r="F146" s="275" t="s">
        <v>22</v>
      </c>
      <c r="G146" s="84">
        <f t="shared" si="61"/>
        <v>101</v>
      </c>
      <c r="H146" s="84"/>
      <c r="I146" s="89">
        <f>SUM(J146:M146)</f>
        <v>0</v>
      </c>
      <c r="J146" s="89">
        <v>0</v>
      </c>
      <c r="K146" s="89">
        <v>0</v>
      </c>
      <c r="L146" s="89">
        <v>0</v>
      </c>
      <c r="M146" s="113">
        <v>0</v>
      </c>
      <c r="N146" s="89">
        <v>0</v>
      </c>
    </row>
    <row r="147" spans="1:14" ht="23.25" customHeight="1" thickBot="1" x14ac:dyDescent="0.25">
      <c r="A147" s="978"/>
      <c r="B147" s="1019"/>
      <c r="C147" s="71"/>
      <c r="D147" s="973" t="s">
        <v>199</v>
      </c>
      <c r="E147" s="974"/>
      <c r="F147" s="275" t="s">
        <v>22</v>
      </c>
      <c r="G147" s="84">
        <f t="shared" si="61"/>
        <v>102</v>
      </c>
      <c r="H147" s="84"/>
      <c r="I147" s="89">
        <f>SUM(J147:M147)</f>
        <v>0</v>
      </c>
      <c r="J147" s="89">
        <v>0</v>
      </c>
      <c r="K147" s="89">
        <v>0</v>
      </c>
      <c r="L147" s="89">
        <v>0</v>
      </c>
      <c r="M147" s="113">
        <v>0</v>
      </c>
      <c r="N147" s="89">
        <v>0</v>
      </c>
    </row>
    <row r="148" spans="1:14" ht="21" customHeight="1" thickBot="1" x14ac:dyDescent="0.25">
      <c r="A148" s="978"/>
      <c r="B148" s="1019"/>
      <c r="C148" s="71"/>
      <c r="D148" s="973" t="s">
        <v>200</v>
      </c>
      <c r="E148" s="974"/>
      <c r="F148" s="275" t="s">
        <v>22</v>
      </c>
      <c r="G148" s="84">
        <f t="shared" si="61"/>
        <v>103</v>
      </c>
      <c r="H148" s="84"/>
      <c r="I148" s="89">
        <f>SUM(J148:M148)</f>
        <v>0</v>
      </c>
      <c r="J148" s="89">
        <v>0</v>
      </c>
      <c r="K148" s="89">
        <v>0</v>
      </c>
      <c r="L148" s="89">
        <v>0</v>
      </c>
      <c r="M148" s="113">
        <v>0</v>
      </c>
      <c r="N148" s="89">
        <v>0</v>
      </c>
    </row>
    <row r="149" spans="1:14" ht="22.5" customHeight="1" thickBot="1" x14ac:dyDescent="0.25">
      <c r="A149" s="978"/>
      <c r="B149" s="1019"/>
      <c r="C149" s="293" t="s">
        <v>63</v>
      </c>
      <c r="D149" s="986" t="s">
        <v>75</v>
      </c>
      <c r="E149" s="988"/>
      <c r="F149" s="276"/>
      <c r="G149" s="97">
        <f t="shared" si="61"/>
        <v>104</v>
      </c>
      <c r="H149" s="97"/>
      <c r="I149" s="100">
        <f t="shared" ref="I149:M149" si="64">I150+I153+I156+I157</f>
        <v>0</v>
      </c>
      <c r="J149" s="100">
        <f t="shared" si="64"/>
        <v>0</v>
      </c>
      <c r="K149" s="100">
        <f t="shared" si="64"/>
        <v>0</v>
      </c>
      <c r="L149" s="100">
        <f t="shared" si="64"/>
        <v>0</v>
      </c>
      <c r="M149" s="362">
        <f t="shared" si="64"/>
        <v>0</v>
      </c>
      <c r="N149" s="100">
        <f t="shared" ref="N149" si="65">N150+N153+N156+N157</f>
        <v>0</v>
      </c>
    </row>
    <row r="150" spans="1:14" ht="13.5" thickBot="1" x14ac:dyDescent="0.25">
      <c r="A150" s="978"/>
      <c r="B150" s="1019"/>
      <c r="C150" s="1018"/>
      <c r="D150" s="973" t="s">
        <v>282</v>
      </c>
      <c r="E150" s="974"/>
      <c r="F150" s="275" t="s">
        <v>650</v>
      </c>
      <c r="G150" s="84">
        <f t="shared" si="61"/>
        <v>105</v>
      </c>
      <c r="H150" s="84"/>
      <c r="I150" s="250">
        <f t="shared" ref="I150:I155" si="66">SUM(J150:M150)</f>
        <v>0</v>
      </c>
      <c r="J150" s="250">
        <f t="shared" ref="J150:M150" si="67">SUM(J151:J152)</f>
        <v>0</v>
      </c>
      <c r="K150" s="250">
        <f t="shared" si="67"/>
        <v>0</v>
      </c>
      <c r="L150" s="250">
        <f t="shared" si="67"/>
        <v>0</v>
      </c>
      <c r="M150" s="365">
        <f t="shared" si="67"/>
        <v>0</v>
      </c>
      <c r="N150" s="250">
        <f>SUM(N151:N152)</f>
        <v>0</v>
      </c>
    </row>
    <row r="151" spans="1:14" ht="13.5" thickBot="1" x14ac:dyDescent="0.25">
      <c r="A151" s="978"/>
      <c r="B151" s="1019"/>
      <c r="C151" s="1019"/>
      <c r="D151" s="306"/>
      <c r="E151" s="310" t="s">
        <v>414</v>
      </c>
      <c r="F151" s="311"/>
      <c r="G151" s="308">
        <f t="shared" si="61"/>
        <v>106</v>
      </c>
      <c r="H151" s="308"/>
      <c r="I151" s="312">
        <f t="shared" si="66"/>
        <v>0</v>
      </c>
      <c r="J151" s="312"/>
      <c r="K151" s="312"/>
      <c r="L151" s="312"/>
      <c r="M151" s="366"/>
      <c r="N151" s="312"/>
    </row>
    <row r="152" spans="1:14" ht="13.5" thickBot="1" x14ac:dyDescent="0.25">
      <c r="A152" s="978"/>
      <c r="B152" s="1019"/>
      <c r="C152" s="1019"/>
      <c r="D152" s="306"/>
      <c r="E152" s="310" t="s">
        <v>415</v>
      </c>
      <c r="F152" s="311"/>
      <c r="G152" s="308">
        <f t="shared" si="61"/>
        <v>107</v>
      </c>
      <c r="H152" s="308"/>
      <c r="I152" s="312">
        <f t="shared" si="66"/>
        <v>0</v>
      </c>
      <c r="J152" s="312"/>
      <c r="K152" s="312"/>
      <c r="L152" s="312"/>
      <c r="M152" s="366"/>
      <c r="N152" s="312"/>
    </row>
    <row r="153" spans="1:14" ht="19.5" customHeight="1" thickBot="1" x14ac:dyDescent="0.25">
      <c r="A153" s="978"/>
      <c r="B153" s="1019"/>
      <c r="C153" s="1019"/>
      <c r="D153" s="973" t="s">
        <v>201</v>
      </c>
      <c r="E153" s="974"/>
      <c r="F153" s="275" t="s">
        <v>651</v>
      </c>
      <c r="G153" s="84">
        <f t="shared" si="61"/>
        <v>108</v>
      </c>
      <c r="H153" s="84"/>
      <c r="I153" s="250">
        <f t="shared" si="66"/>
        <v>0</v>
      </c>
      <c r="J153" s="250">
        <f t="shared" ref="J153:M153" si="68">SUM(J154:J155)</f>
        <v>0</v>
      </c>
      <c r="K153" s="250">
        <f t="shared" si="68"/>
        <v>0</v>
      </c>
      <c r="L153" s="250">
        <f t="shared" si="68"/>
        <v>0</v>
      </c>
      <c r="M153" s="365">
        <f t="shared" si="68"/>
        <v>0</v>
      </c>
      <c r="N153" s="250">
        <f>SUM(N154:N155)</f>
        <v>0</v>
      </c>
    </row>
    <row r="154" spans="1:14" ht="13.5" thickBot="1" x14ac:dyDescent="0.25">
      <c r="A154" s="978"/>
      <c r="B154" s="1019"/>
      <c r="C154" s="1019"/>
      <c r="D154" s="313"/>
      <c r="E154" s="310" t="s">
        <v>414</v>
      </c>
      <c r="F154" s="311"/>
      <c r="G154" s="308">
        <f t="shared" si="61"/>
        <v>109</v>
      </c>
      <c r="H154" s="308"/>
      <c r="I154" s="125">
        <f t="shared" si="66"/>
        <v>0</v>
      </c>
      <c r="J154" s="125"/>
      <c r="K154" s="125"/>
      <c r="L154" s="125"/>
      <c r="M154" s="367"/>
      <c r="N154" s="125"/>
    </row>
    <row r="155" spans="1:14" ht="13.5" thickBot="1" x14ac:dyDescent="0.25">
      <c r="A155" s="978"/>
      <c r="B155" s="1019"/>
      <c r="C155" s="1019"/>
      <c r="D155" s="313"/>
      <c r="E155" s="310" t="s">
        <v>415</v>
      </c>
      <c r="F155" s="311"/>
      <c r="G155" s="308">
        <f t="shared" si="61"/>
        <v>110</v>
      </c>
      <c r="H155" s="308"/>
      <c r="I155" s="125">
        <f t="shared" si="66"/>
        <v>0</v>
      </c>
      <c r="J155" s="125"/>
      <c r="K155" s="125"/>
      <c r="L155" s="125"/>
      <c r="M155" s="367"/>
      <c r="N155" s="125"/>
    </row>
    <row r="156" spans="1:14" ht="13.5" thickBot="1" x14ac:dyDescent="0.25">
      <c r="A156" s="978"/>
      <c r="B156" s="1019"/>
      <c r="C156" s="1020"/>
      <c r="D156" s="973" t="s">
        <v>202</v>
      </c>
      <c r="E156" s="974"/>
      <c r="F156" s="275" t="s">
        <v>652</v>
      </c>
      <c r="G156" s="84">
        <f t="shared" si="61"/>
        <v>111</v>
      </c>
      <c r="H156" s="84"/>
      <c r="I156" s="250">
        <f t="shared" ref="I156:I164" si="69">SUM(J156:M156)</f>
        <v>0</v>
      </c>
      <c r="J156" s="250"/>
      <c r="K156" s="250"/>
      <c r="L156" s="250"/>
      <c r="M156" s="365"/>
      <c r="N156" s="250"/>
    </row>
    <row r="157" spans="1:14" ht="13.5" thickBot="1" x14ac:dyDescent="0.25">
      <c r="A157" s="978"/>
      <c r="B157" s="1019"/>
      <c r="C157" s="71"/>
      <c r="D157" s="973" t="s">
        <v>203</v>
      </c>
      <c r="E157" s="974"/>
      <c r="F157" s="275"/>
      <c r="G157" s="84">
        <f t="shared" si="61"/>
        <v>112</v>
      </c>
      <c r="H157" s="84"/>
      <c r="I157" s="89">
        <f t="shared" si="69"/>
        <v>0</v>
      </c>
      <c r="J157" s="89">
        <v>0</v>
      </c>
      <c r="K157" s="89">
        <v>0</v>
      </c>
      <c r="L157" s="89">
        <v>0</v>
      </c>
      <c r="M157" s="113">
        <v>0</v>
      </c>
      <c r="N157" s="89">
        <v>0</v>
      </c>
    </row>
    <row r="158" spans="1:14" ht="21" customHeight="1" thickBot="1" x14ac:dyDescent="0.25">
      <c r="A158" s="978"/>
      <c r="B158" s="1019"/>
      <c r="C158" s="293" t="s">
        <v>68</v>
      </c>
      <c r="D158" s="986" t="s">
        <v>204</v>
      </c>
      <c r="E158" s="988"/>
      <c r="F158" s="276"/>
      <c r="G158" s="97">
        <f t="shared" si="61"/>
        <v>113</v>
      </c>
      <c r="H158" s="409">
        <f>SUM(H159:H161)</f>
        <v>0.22814000000000001</v>
      </c>
      <c r="I158" s="100">
        <f t="shared" si="69"/>
        <v>122136.34598000001</v>
      </c>
      <c r="J158" s="100">
        <f>SUM(J159:J164)</f>
        <v>24911.975440000002</v>
      </c>
      <c r="K158" s="100">
        <f>SUM(K159:K164)</f>
        <v>34899.944640000002</v>
      </c>
      <c r="L158" s="100">
        <f>SUM(L159:L164)</f>
        <v>30519.656640000001</v>
      </c>
      <c r="M158" s="362">
        <f>SUM(M159:M164)</f>
        <v>31804.769260000001</v>
      </c>
      <c r="N158" s="100">
        <f>SUM(N159:N164)</f>
        <v>0</v>
      </c>
    </row>
    <row r="159" spans="1:14" ht="13.5" thickBot="1" x14ac:dyDescent="0.25">
      <c r="A159" s="978"/>
      <c r="B159" s="1019"/>
      <c r="C159" s="314"/>
      <c r="D159" s="973" t="s">
        <v>205</v>
      </c>
      <c r="E159" s="974"/>
      <c r="F159" s="275">
        <v>645</v>
      </c>
      <c r="G159" s="84">
        <f t="shared" si="61"/>
        <v>114</v>
      </c>
      <c r="H159" s="410">
        <f>(15.8+0.214)%</f>
        <v>0.16014</v>
      </c>
      <c r="I159" s="101">
        <f t="shared" si="69"/>
        <v>85732.06998</v>
      </c>
      <c r="J159" s="405">
        <f>(J133+J143+J149)*$H$159</f>
        <v>17486.647440000001</v>
      </c>
      <c r="K159" s="405">
        <f>(K133+K143+K149)*$H$159</f>
        <v>24497.576639999999</v>
      </c>
      <c r="L159" s="405">
        <f>(L133+L143+L149)*$H$159</f>
        <v>21422.888640000001</v>
      </c>
      <c r="M159" s="405">
        <f>(M133+M143+M149)*$H$159</f>
        <v>22324.957259999999</v>
      </c>
      <c r="N159" s="89"/>
    </row>
    <row r="160" spans="1:14" ht="13.5" thickBot="1" x14ac:dyDescent="0.25">
      <c r="A160" s="978"/>
      <c r="B160" s="1019"/>
      <c r="C160" s="315"/>
      <c r="D160" s="973" t="s">
        <v>206</v>
      </c>
      <c r="E160" s="974"/>
      <c r="F160" s="275">
        <v>6452</v>
      </c>
      <c r="G160" s="84">
        <f t="shared" si="61"/>
        <v>115</v>
      </c>
      <c r="H160" s="410">
        <v>7.4999999999999997E-3</v>
      </c>
      <c r="I160" s="101">
        <f t="shared" si="69"/>
        <v>4015.1774999999998</v>
      </c>
      <c r="J160" s="405">
        <f>(J133+J143+J149)*$H$160</f>
        <v>818.96999999999991</v>
      </c>
      <c r="K160" s="405">
        <f>(K133+K143+K149)*$H$160</f>
        <v>1147.32</v>
      </c>
      <c r="L160" s="405">
        <f>(L133+L143+L149)*$H$160</f>
        <v>1003.3199999999999</v>
      </c>
      <c r="M160" s="405">
        <f>(M133+M143+M149)*$H$160</f>
        <v>1045.5674999999999</v>
      </c>
      <c r="N160" s="89"/>
    </row>
    <row r="161" spans="1:14" ht="13.5" thickBot="1" x14ac:dyDescent="0.25">
      <c r="A161" s="978"/>
      <c r="B161" s="1019"/>
      <c r="C161" s="315"/>
      <c r="D161" s="973" t="s">
        <v>207</v>
      </c>
      <c r="E161" s="974"/>
      <c r="F161" s="275">
        <v>6453</v>
      </c>
      <c r="G161" s="84">
        <f t="shared" si="61"/>
        <v>116</v>
      </c>
      <c r="H161" s="410">
        <v>6.0499999999999998E-2</v>
      </c>
      <c r="I161" s="101">
        <f t="shared" si="69"/>
        <v>32389.0985</v>
      </c>
      <c r="J161" s="405">
        <f>(J133+J143+J149)*$H$161</f>
        <v>6606.3580000000002</v>
      </c>
      <c r="K161" s="405">
        <f>(K133+K143+K149)*$H$161</f>
        <v>9255.0479999999989</v>
      </c>
      <c r="L161" s="405">
        <f>(L133+L143+L149)*$H$161</f>
        <v>8093.4479999999994</v>
      </c>
      <c r="M161" s="405">
        <f>(M133+M143+M149)*$H$161</f>
        <v>8434.2444999999989</v>
      </c>
      <c r="N161" s="89"/>
    </row>
    <row r="162" spans="1:14" ht="21" customHeight="1" thickBot="1" x14ac:dyDescent="0.25">
      <c r="A162" s="978"/>
      <c r="B162" s="1019"/>
      <c r="C162" s="315"/>
      <c r="D162" s="973" t="s">
        <v>208</v>
      </c>
      <c r="E162" s="974"/>
      <c r="F162" s="275"/>
      <c r="G162" s="84">
        <f t="shared" si="61"/>
        <v>117</v>
      </c>
      <c r="H162" s="84"/>
      <c r="I162" s="101">
        <f t="shared" si="69"/>
        <v>0</v>
      </c>
      <c r="J162" s="89"/>
      <c r="K162" s="89"/>
      <c r="L162" s="89"/>
      <c r="M162" s="113"/>
      <c r="N162" s="89"/>
    </row>
    <row r="163" spans="1:14" ht="13.5" thickBot="1" x14ac:dyDescent="0.25">
      <c r="A163" s="978"/>
      <c r="B163" s="1019"/>
      <c r="C163" s="315"/>
      <c r="D163" s="973" t="s">
        <v>209</v>
      </c>
      <c r="E163" s="974"/>
      <c r="F163" s="275"/>
      <c r="G163" s="84">
        <f t="shared" si="61"/>
        <v>118</v>
      </c>
      <c r="H163" s="84"/>
      <c r="I163" s="101">
        <f t="shared" si="69"/>
        <v>0</v>
      </c>
      <c r="J163" s="89"/>
      <c r="K163" s="89"/>
      <c r="L163" s="89"/>
      <c r="M163" s="113"/>
      <c r="N163" s="89"/>
    </row>
    <row r="164" spans="1:14" ht="13.5" thickBot="1" x14ac:dyDescent="0.25">
      <c r="A164" s="978"/>
      <c r="B164" s="1019"/>
      <c r="C164" s="298"/>
      <c r="D164" s="973" t="s">
        <v>210</v>
      </c>
      <c r="E164" s="974"/>
      <c r="F164" s="275"/>
      <c r="G164" s="84">
        <f t="shared" si="61"/>
        <v>119</v>
      </c>
      <c r="H164" s="84"/>
      <c r="I164" s="101">
        <f t="shared" si="69"/>
        <v>0</v>
      </c>
      <c r="J164" s="89"/>
      <c r="K164" s="89"/>
      <c r="L164" s="89"/>
      <c r="M164" s="113"/>
      <c r="N164" s="89"/>
    </row>
    <row r="165" spans="1:14" ht="22.5" customHeight="1" thickBot="1" x14ac:dyDescent="0.25">
      <c r="A165" s="978"/>
      <c r="B165" s="1019"/>
      <c r="C165" s="986" t="s">
        <v>469</v>
      </c>
      <c r="D165" s="987"/>
      <c r="E165" s="988"/>
      <c r="F165" s="276"/>
      <c r="G165" s="97">
        <f t="shared" si="61"/>
        <v>120</v>
      </c>
      <c r="H165" s="97"/>
      <c r="I165" s="100">
        <f t="shared" ref="I165:M165" si="70">I166+I169+I170+I171+I172+I173</f>
        <v>6178</v>
      </c>
      <c r="J165" s="100">
        <f t="shared" si="70"/>
        <v>-14893</v>
      </c>
      <c r="K165" s="100">
        <f t="shared" si="70"/>
        <v>-14893</v>
      </c>
      <c r="L165" s="100">
        <f t="shared" si="70"/>
        <v>-14893</v>
      </c>
      <c r="M165" s="362">
        <f t="shared" si="70"/>
        <v>50857</v>
      </c>
      <c r="N165" s="100">
        <f t="shared" ref="N165" si="71">N166+N169+N170+N171+N172+N173</f>
        <v>0</v>
      </c>
    </row>
    <row r="166" spans="1:14" ht="13.5" thickBot="1" x14ac:dyDescent="0.25">
      <c r="A166" s="978"/>
      <c r="B166" s="1019"/>
      <c r="C166" s="71" t="s">
        <v>27</v>
      </c>
      <c r="D166" s="973" t="s">
        <v>470</v>
      </c>
      <c r="E166" s="974"/>
      <c r="F166" s="275"/>
      <c r="G166" s="84">
        <f t="shared" si="61"/>
        <v>121</v>
      </c>
      <c r="H166" s="84"/>
      <c r="I166" s="89">
        <f t="shared" ref="I166:M166" si="72">SUM(I167:I168)</f>
        <v>24</v>
      </c>
      <c r="J166" s="89">
        <f t="shared" si="72"/>
        <v>6</v>
      </c>
      <c r="K166" s="89">
        <f t="shared" si="72"/>
        <v>6</v>
      </c>
      <c r="L166" s="89">
        <f t="shared" si="72"/>
        <v>6</v>
      </c>
      <c r="M166" s="113">
        <f t="shared" si="72"/>
        <v>6</v>
      </c>
      <c r="N166" s="89">
        <f t="shared" ref="N166" si="73">SUM(N167:N168)</f>
        <v>0</v>
      </c>
    </row>
    <row r="167" spans="1:14" ht="13.5" thickBot="1" x14ac:dyDescent="0.25">
      <c r="A167" s="978"/>
      <c r="B167" s="1019"/>
      <c r="C167" s="71"/>
      <c r="D167" s="973" t="s">
        <v>211</v>
      </c>
      <c r="E167" s="974"/>
      <c r="F167" s="275">
        <v>6581</v>
      </c>
      <c r="G167" s="84">
        <f t="shared" si="61"/>
        <v>122</v>
      </c>
      <c r="H167" s="84"/>
      <c r="I167" s="89">
        <f t="shared" ref="I167:I172" si="74">SUM(J167:M167)</f>
        <v>0</v>
      </c>
      <c r="J167" s="89"/>
      <c r="K167" s="89"/>
      <c r="L167" s="89"/>
      <c r="M167" s="113"/>
      <c r="N167" s="89"/>
    </row>
    <row r="168" spans="1:14" ht="13.5" thickBot="1" x14ac:dyDescent="0.25">
      <c r="A168" s="978"/>
      <c r="B168" s="1019"/>
      <c r="C168" s="71"/>
      <c r="D168" s="973" t="s">
        <v>212</v>
      </c>
      <c r="E168" s="974"/>
      <c r="F168" s="275" t="s">
        <v>653</v>
      </c>
      <c r="G168" s="84">
        <f t="shared" si="61"/>
        <v>123</v>
      </c>
      <c r="H168" s="84"/>
      <c r="I168" s="89">
        <f t="shared" si="74"/>
        <v>24</v>
      </c>
      <c r="J168" s="89">
        <v>6</v>
      </c>
      <c r="K168" s="89">
        <v>6</v>
      </c>
      <c r="L168" s="89">
        <v>6</v>
      </c>
      <c r="M168" s="113">
        <v>6</v>
      </c>
      <c r="N168" s="89"/>
    </row>
    <row r="169" spans="1:14" ht="13.5" thickBot="1" x14ac:dyDescent="0.25">
      <c r="A169" s="979"/>
      <c r="B169" s="1020"/>
      <c r="C169" s="71" t="s">
        <v>38</v>
      </c>
      <c r="D169" s="973" t="s">
        <v>213</v>
      </c>
      <c r="E169" s="974"/>
      <c r="F169" s="275">
        <v>653</v>
      </c>
      <c r="G169" s="84">
        <f t="shared" si="61"/>
        <v>124</v>
      </c>
      <c r="H169" s="84"/>
      <c r="I169" s="89">
        <f t="shared" si="74"/>
        <v>0</v>
      </c>
      <c r="J169" s="89"/>
      <c r="K169" s="89"/>
      <c r="L169" s="89"/>
      <c r="M169" s="113"/>
      <c r="N169" s="89"/>
    </row>
    <row r="170" spans="1:14" ht="13.5" thickBot="1" x14ac:dyDescent="0.25">
      <c r="A170" s="977"/>
      <c r="B170" s="1018"/>
      <c r="C170" s="71" t="s">
        <v>40</v>
      </c>
      <c r="D170" s="973" t="s">
        <v>287</v>
      </c>
      <c r="E170" s="974"/>
      <c r="F170" s="275"/>
      <c r="G170" s="84">
        <f t="shared" si="61"/>
        <v>125</v>
      </c>
      <c r="H170" s="84"/>
      <c r="I170" s="89">
        <f t="shared" si="74"/>
        <v>0</v>
      </c>
      <c r="J170" s="89"/>
      <c r="K170" s="89"/>
      <c r="L170" s="89"/>
      <c r="M170" s="113"/>
      <c r="N170" s="89"/>
    </row>
    <row r="171" spans="1:14" ht="13.5" thickBot="1" x14ac:dyDescent="0.25">
      <c r="A171" s="978"/>
      <c r="B171" s="1019"/>
      <c r="C171" s="71" t="s">
        <v>42</v>
      </c>
      <c r="D171" s="973" t="s">
        <v>149</v>
      </c>
      <c r="E171" s="974"/>
      <c r="F171" s="275">
        <v>658</v>
      </c>
      <c r="G171" s="84">
        <f t="shared" si="61"/>
        <v>126</v>
      </c>
      <c r="H171" s="84"/>
      <c r="I171" s="89">
        <f t="shared" si="74"/>
        <v>4</v>
      </c>
      <c r="J171" s="89">
        <v>1</v>
      </c>
      <c r="K171" s="89">
        <v>1</v>
      </c>
      <c r="L171" s="89">
        <v>1</v>
      </c>
      <c r="M171" s="113">
        <v>1</v>
      </c>
      <c r="N171" s="89"/>
    </row>
    <row r="172" spans="1:14" ht="13.5" thickBot="1" x14ac:dyDescent="0.25">
      <c r="A172" s="978"/>
      <c r="B172" s="1019"/>
      <c r="C172" s="71" t="s">
        <v>28</v>
      </c>
      <c r="D172" s="973" t="s">
        <v>288</v>
      </c>
      <c r="E172" s="974"/>
      <c r="F172" s="275">
        <v>681</v>
      </c>
      <c r="G172" s="84">
        <f t="shared" si="61"/>
        <v>127</v>
      </c>
      <c r="H172" s="84"/>
      <c r="I172" s="89">
        <f t="shared" si="74"/>
        <v>10300</v>
      </c>
      <c r="J172" s="89">
        <v>2100</v>
      </c>
      <c r="K172" s="89">
        <v>2100</v>
      </c>
      <c r="L172" s="89">
        <v>2100</v>
      </c>
      <c r="M172" s="113">
        <v>4000</v>
      </c>
      <c r="N172" s="89"/>
    </row>
    <row r="173" spans="1:14" ht="23.25" customHeight="1" thickBot="1" x14ac:dyDescent="0.25">
      <c r="A173" s="978"/>
      <c r="B173" s="1020"/>
      <c r="C173" s="71" t="s">
        <v>34</v>
      </c>
      <c r="D173" s="973" t="s">
        <v>345</v>
      </c>
      <c r="E173" s="974"/>
      <c r="F173" s="275"/>
      <c r="G173" s="84">
        <f t="shared" si="61"/>
        <v>128</v>
      </c>
      <c r="H173" s="84"/>
      <c r="I173" s="89">
        <f t="shared" ref="I173:M173" si="75">I174-I177</f>
        <v>-4150</v>
      </c>
      <c r="J173" s="89">
        <f t="shared" si="75"/>
        <v>-17000</v>
      </c>
      <c r="K173" s="89">
        <f t="shared" si="75"/>
        <v>-17000</v>
      </c>
      <c r="L173" s="89">
        <f t="shared" si="75"/>
        <v>-17000</v>
      </c>
      <c r="M173" s="113">
        <f t="shared" si="75"/>
        <v>46850</v>
      </c>
      <c r="N173" s="89">
        <f t="shared" ref="N173" si="76">N174-N177</f>
        <v>0</v>
      </c>
    </row>
    <row r="174" spans="1:14" ht="13.5" thickBot="1" x14ac:dyDescent="0.25">
      <c r="A174" s="978"/>
      <c r="B174" s="71"/>
      <c r="C174" s="71"/>
      <c r="D174" s="71" t="s">
        <v>51</v>
      </c>
      <c r="E174" s="71" t="s">
        <v>460</v>
      </c>
      <c r="F174" s="86">
        <v>6814</v>
      </c>
      <c r="G174" s="84">
        <f t="shared" si="61"/>
        <v>129</v>
      </c>
      <c r="H174" s="84"/>
      <c r="I174" s="89">
        <f>SUM(J174:M174)</f>
        <v>60000</v>
      </c>
      <c r="J174" s="89"/>
      <c r="K174" s="89"/>
      <c r="L174" s="89"/>
      <c r="M174" s="113">
        <v>60000</v>
      </c>
      <c r="N174" s="89"/>
    </row>
    <row r="175" spans="1:14" ht="13.5" thickBot="1" x14ac:dyDescent="0.25">
      <c r="A175" s="978"/>
      <c r="B175" s="71"/>
      <c r="C175" s="71"/>
      <c r="D175" s="306" t="s">
        <v>416</v>
      </c>
      <c r="E175" s="310" t="s">
        <v>417</v>
      </c>
      <c r="F175" s="311" t="s">
        <v>654</v>
      </c>
      <c r="G175" s="84">
        <f t="shared" si="61"/>
        <v>130</v>
      </c>
      <c r="H175" s="84"/>
      <c r="I175" s="89">
        <f>SUM(J175:M175)</f>
        <v>0</v>
      </c>
      <c r="J175" s="89"/>
      <c r="K175" s="89"/>
      <c r="L175" s="89"/>
      <c r="M175" s="113"/>
      <c r="N175" s="89"/>
    </row>
    <row r="176" spans="1:14" ht="13.5" thickBot="1" x14ac:dyDescent="0.25">
      <c r="A176" s="978"/>
      <c r="B176" s="71"/>
      <c r="C176" s="71"/>
      <c r="D176" s="306" t="s">
        <v>418</v>
      </c>
      <c r="E176" s="316" t="s">
        <v>419</v>
      </c>
      <c r="F176" s="317"/>
      <c r="G176" s="121" t="s">
        <v>420</v>
      </c>
      <c r="H176" s="408"/>
      <c r="I176" s="89"/>
      <c r="J176" s="89"/>
      <c r="K176" s="89"/>
      <c r="L176" s="89"/>
      <c r="M176" s="113"/>
      <c r="N176" s="89"/>
    </row>
    <row r="177" spans="1:14" ht="23.25" thickBot="1" x14ac:dyDescent="0.25">
      <c r="A177" s="978"/>
      <c r="B177" s="71"/>
      <c r="C177" s="71"/>
      <c r="D177" s="318" t="s">
        <v>52</v>
      </c>
      <c r="E177" s="71" t="s">
        <v>346</v>
      </c>
      <c r="F177" s="86">
        <v>781</v>
      </c>
      <c r="G177" s="84">
        <v>131</v>
      </c>
      <c r="H177" s="84"/>
      <c r="I177" s="89">
        <f t="shared" ref="I177:M177" si="77">I178</f>
        <v>64150</v>
      </c>
      <c r="J177" s="89">
        <f t="shared" si="77"/>
        <v>17000</v>
      </c>
      <c r="K177" s="89">
        <f t="shared" si="77"/>
        <v>17000</v>
      </c>
      <c r="L177" s="89">
        <f t="shared" si="77"/>
        <v>17000</v>
      </c>
      <c r="M177" s="113">
        <f t="shared" si="77"/>
        <v>13150</v>
      </c>
      <c r="N177" s="89">
        <f t="shared" ref="N177" si="78">N178</f>
        <v>0</v>
      </c>
    </row>
    <row r="178" spans="1:14" ht="13.5" thickBot="1" x14ac:dyDescent="0.25">
      <c r="A178" s="978"/>
      <c r="B178" s="71"/>
      <c r="C178" s="71"/>
      <c r="D178" s="318" t="s">
        <v>65</v>
      </c>
      <c r="E178" s="71" t="s">
        <v>459</v>
      </c>
      <c r="F178" s="86">
        <v>7814</v>
      </c>
      <c r="G178" s="84">
        <f t="shared" ref="G178:G194" si="79">G177+1</f>
        <v>132</v>
      </c>
      <c r="H178" s="84"/>
      <c r="I178" s="89">
        <f t="shared" ref="I178:M178" si="80">I179+I180+I181</f>
        <v>64150</v>
      </c>
      <c r="J178" s="89">
        <f t="shared" si="80"/>
        <v>17000</v>
      </c>
      <c r="K178" s="89">
        <f t="shared" si="80"/>
        <v>17000</v>
      </c>
      <c r="L178" s="89">
        <f t="shared" si="80"/>
        <v>17000</v>
      </c>
      <c r="M178" s="113">
        <f t="shared" si="80"/>
        <v>13150</v>
      </c>
      <c r="N178" s="89">
        <f t="shared" ref="N178" si="81">N179+N180+N181</f>
        <v>0</v>
      </c>
    </row>
    <row r="179" spans="1:14" ht="13.5" thickBot="1" x14ac:dyDescent="0.25">
      <c r="A179" s="978"/>
      <c r="B179" s="71"/>
      <c r="C179" s="71"/>
      <c r="D179" s="71"/>
      <c r="E179" s="71" t="s">
        <v>426</v>
      </c>
      <c r="F179" s="86">
        <v>7812</v>
      </c>
      <c r="G179" s="84">
        <f t="shared" si="79"/>
        <v>133</v>
      </c>
      <c r="H179" s="84"/>
      <c r="I179" s="89">
        <f>SUM(J179:M179)</f>
        <v>0</v>
      </c>
      <c r="J179" s="89"/>
      <c r="K179" s="89"/>
      <c r="L179" s="89"/>
      <c r="M179" s="113"/>
      <c r="N179" s="89"/>
    </row>
    <row r="180" spans="1:14" ht="13.5" thickBot="1" x14ac:dyDescent="0.25">
      <c r="A180" s="978"/>
      <c r="B180" s="71"/>
      <c r="C180" s="71"/>
      <c r="D180" s="71"/>
      <c r="E180" s="71" t="s">
        <v>347</v>
      </c>
      <c r="F180" s="86"/>
      <c r="G180" s="84">
        <f t="shared" si="79"/>
        <v>134</v>
      </c>
      <c r="H180" s="84"/>
      <c r="I180" s="89">
        <f>SUM(J180:M180)</f>
        <v>64150</v>
      </c>
      <c r="J180" s="89">
        <v>17000</v>
      </c>
      <c r="K180" s="89">
        <v>17000</v>
      </c>
      <c r="L180" s="89">
        <v>17000</v>
      </c>
      <c r="M180" s="113">
        <v>13150</v>
      </c>
      <c r="N180" s="89"/>
    </row>
    <row r="181" spans="1:14" ht="13.5" thickBot="1" x14ac:dyDescent="0.25">
      <c r="A181" s="978"/>
      <c r="B181" s="71"/>
      <c r="C181" s="71"/>
      <c r="D181" s="71"/>
      <c r="E181" s="71" t="s">
        <v>348</v>
      </c>
      <c r="F181" s="86"/>
      <c r="G181" s="84">
        <f t="shared" si="79"/>
        <v>135</v>
      </c>
      <c r="H181" s="84"/>
      <c r="I181" s="89">
        <f>SUM(J181:M181)</f>
        <v>0</v>
      </c>
      <c r="J181" s="89"/>
      <c r="K181" s="89"/>
      <c r="L181" s="89"/>
      <c r="M181" s="113"/>
      <c r="N181" s="89"/>
    </row>
    <row r="182" spans="1:14" ht="21.75" customHeight="1" thickBot="1" x14ac:dyDescent="0.25">
      <c r="A182" s="978"/>
      <c r="B182" s="282" t="s">
        <v>21</v>
      </c>
      <c r="C182" s="282"/>
      <c r="D182" s="1023" t="s">
        <v>471</v>
      </c>
      <c r="E182" s="1025"/>
      <c r="F182" s="292"/>
      <c r="G182" s="284">
        <f t="shared" si="79"/>
        <v>136</v>
      </c>
      <c r="H182" s="284"/>
      <c r="I182" s="88">
        <f>I183+I186+I189</f>
        <v>0</v>
      </c>
      <c r="J182" s="88">
        <f t="shared" ref="J182:M182" si="82">J183+J187+J189</f>
        <v>0</v>
      </c>
      <c r="K182" s="88">
        <f t="shared" si="82"/>
        <v>0</v>
      </c>
      <c r="L182" s="88">
        <f t="shared" si="82"/>
        <v>0</v>
      </c>
      <c r="M182" s="353">
        <f t="shared" si="82"/>
        <v>0</v>
      </c>
      <c r="N182" s="88">
        <f>N183+N187+N189</f>
        <v>0</v>
      </c>
    </row>
    <row r="183" spans="1:14" ht="13.5" thickBot="1" x14ac:dyDescent="0.25">
      <c r="A183" s="978"/>
      <c r="B183" s="1018"/>
      <c r="C183" s="71" t="s">
        <v>27</v>
      </c>
      <c r="D183" s="973" t="s">
        <v>461</v>
      </c>
      <c r="E183" s="974"/>
      <c r="F183" s="275"/>
      <c r="G183" s="84">
        <f t="shared" si="79"/>
        <v>137</v>
      </c>
      <c r="H183" s="84"/>
      <c r="I183" s="89">
        <f t="shared" ref="I183:M183" si="83">I184+I185</f>
        <v>0</v>
      </c>
      <c r="J183" s="89">
        <f t="shared" si="83"/>
        <v>0</v>
      </c>
      <c r="K183" s="89">
        <f t="shared" si="83"/>
        <v>0</v>
      </c>
      <c r="L183" s="89">
        <f t="shared" si="83"/>
        <v>0</v>
      </c>
      <c r="M183" s="113">
        <f t="shared" si="83"/>
        <v>0</v>
      </c>
      <c r="N183" s="89">
        <f t="shared" ref="N183" si="84">N184+N185</f>
        <v>0</v>
      </c>
    </row>
    <row r="184" spans="1:14" ht="13.5" thickBot="1" x14ac:dyDescent="0.25">
      <c r="A184" s="978"/>
      <c r="B184" s="1019"/>
      <c r="C184" s="71"/>
      <c r="D184" s="71" t="s">
        <v>237</v>
      </c>
      <c r="E184" s="71" t="s">
        <v>294</v>
      </c>
      <c r="F184" s="86">
        <v>666</v>
      </c>
      <c r="G184" s="84">
        <f t="shared" si="79"/>
        <v>138</v>
      </c>
      <c r="H184" s="84"/>
      <c r="I184" s="89">
        <f>SUM(J184:M184)</f>
        <v>0</v>
      </c>
      <c r="J184" s="89"/>
      <c r="K184" s="89"/>
      <c r="L184" s="89"/>
      <c r="M184" s="113"/>
      <c r="N184" s="89"/>
    </row>
    <row r="185" spans="1:14" ht="13.5" thickBot="1" x14ac:dyDescent="0.25">
      <c r="A185" s="978"/>
      <c r="B185" s="1019"/>
      <c r="C185" s="71"/>
      <c r="D185" s="71" t="s">
        <v>66</v>
      </c>
      <c r="E185" s="71" t="s">
        <v>349</v>
      </c>
      <c r="F185" s="86"/>
      <c r="G185" s="84">
        <f t="shared" si="79"/>
        <v>139</v>
      </c>
      <c r="H185" s="84"/>
      <c r="I185" s="89">
        <f>SUM(J185:M185)</f>
        <v>0</v>
      </c>
      <c r="J185" s="112"/>
      <c r="K185" s="112"/>
      <c r="L185" s="112"/>
      <c r="M185" s="368"/>
      <c r="N185" s="112"/>
    </row>
    <row r="186" spans="1:14" ht="21" customHeight="1" thickBot="1" x14ac:dyDescent="0.25">
      <c r="A186" s="978"/>
      <c r="B186" s="1019"/>
      <c r="C186" s="71" t="s">
        <v>38</v>
      </c>
      <c r="D186" s="973" t="s">
        <v>440</v>
      </c>
      <c r="E186" s="974"/>
      <c r="F186" s="275"/>
      <c r="G186" s="84">
        <f t="shared" si="79"/>
        <v>140</v>
      </c>
      <c r="H186" s="413"/>
      <c r="I186" s="113">
        <f>I187+I188</f>
        <v>0</v>
      </c>
      <c r="J186" s="114">
        <f t="shared" ref="J186:M186" si="85">SUM(J187:J188)</f>
        <v>0</v>
      </c>
      <c r="K186" s="114">
        <f t="shared" si="85"/>
        <v>0</v>
      </c>
      <c r="L186" s="114">
        <f t="shared" si="85"/>
        <v>0</v>
      </c>
      <c r="M186" s="369">
        <f t="shared" si="85"/>
        <v>0</v>
      </c>
      <c r="N186" s="380">
        <f>SUM(N187:N188)</f>
        <v>0</v>
      </c>
    </row>
    <row r="187" spans="1:14" ht="13.5" thickBot="1" x14ac:dyDescent="0.25">
      <c r="A187" s="978"/>
      <c r="B187" s="1019"/>
      <c r="C187" s="71"/>
      <c r="D187" s="71" t="s">
        <v>76</v>
      </c>
      <c r="E187" s="71" t="s">
        <v>294</v>
      </c>
      <c r="F187" s="86">
        <v>665</v>
      </c>
      <c r="G187" s="84">
        <f t="shared" si="79"/>
        <v>141</v>
      </c>
      <c r="H187" s="84"/>
      <c r="I187" s="89">
        <f>SUM(J187:M187)</f>
        <v>0</v>
      </c>
      <c r="J187" s="115"/>
      <c r="K187" s="115"/>
      <c r="L187" s="115"/>
      <c r="M187" s="370"/>
      <c r="N187" s="115"/>
    </row>
    <row r="188" spans="1:14" ht="13.5" thickBot="1" x14ac:dyDescent="0.25">
      <c r="A188" s="978"/>
      <c r="B188" s="1019"/>
      <c r="C188" s="71"/>
      <c r="D188" s="71" t="s">
        <v>99</v>
      </c>
      <c r="E188" s="71" t="s">
        <v>295</v>
      </c>
      <c r="F188" s="86"/>
      <c r="G188" s="84">
        <f t="shared" si="79"/>
        <v>142</v>
      </c>
      <c r="H188" s="84"/>
      <c r="I188" s="89">
        <f>SUM(J188:M188)</f>
        <v>0</v>
      </c>
      <c r="J188" s="89"/>
      <c r="K188" s="89"/>
      <c r="L188" s="89"/>
      <c r="M188" s="113"/>
      <c r="N188" s="89"/>
    </row>
    <row r="189" spans="1:14" ht="13.5" thickBot="1" x14ac:dyDescent="0.25">
      <c r="A189" s="978"/>
      <c r="B189" s="1020"/>
      <c r="C189" s="71" t="s">
        <v>40</v>
      </c>
      <c r="D189" s="973" t="s">
        <v>296</v>
      </c>
      <c r="E189" s="974"/>
      <c r="F189" s="275">
        <v>668</v>
      </c>
      <c r="G189" s="84">
        <f t="shared" si="79"/>
        <v>143</v>
      </c>
      <c r="H189" s="84"/>
      <c r="I189" s="89">
        <f>SUM(J189:M189)</f>
        <v>0</v>
      </c>
      <c r="J189" s="89"/>
      <c r="K189" s="89"/>
      <c r="L189" s="89"/>
      <c r="M189" s="113"/>
      <c r="N189" s="89"/>
    </row>
    <row r="190" spans="1:14" ht="13.5" thickBot="1" x14ac:dyDescent="0.25">
      <c r="A190" s="979"/>
      <c r="B190" s="71" t="s">
        <v>17</v>
      </c>
      <c r="C190" s="319"/>
      <c r="D190" s="1041" t="s">
        <v>129</v>
      </c>
      <c r="E190" s="1042"/>
      <c r="F190" s="320"/>
      <c r="G190" s="84">
        <f t="shared" si="79"/>
        <v>144</v>
      </c>
      <c r="H190" s="84"/>
      <c r="I190" s="89">
        <f>SUM(J190:M190)</f>
        <v>0</v>
      </c>
      <c r="J190" s="117"/>
      <c r="K190" s="117"/>
      <c r="L190" s="117"/>
      <c r="M190" s="371"/>
      <c r="N190" s="117"/>
    </row>
    <row r="191" spans="1:14" ht="13.5" thickBot="1" x14ac:dyDescent="0.25">
      <c r="A191" s="87" t="s">
        <v>130</v>
      </c>
      <c r="B191" s="321"/>
      <c r="C191" s="321"/>
      <c r="D191" s="1023" t="s">
        <v>441</v>
      </c>
      <c r="E191" s="1025"/>
      <c r="F191" s="292"/>
      <c r="G191" s="284">
        <f t="shared" si="79"/>
        <v>145</v>
      </c>
      <c r="H191" s="284"/>
      <c r="I191" s="88">
        <f t="shared" ref="I191:M191" si="86">I10-I41</f>
        <v>34738.074020000175</v>
      </c>
      <c r="J191" s="88">
        <f t="shared" si="86"/>
        <v>35788.354560000007</v>
      </c>
      <c r="K191" s="88">
        <f t="shared" si="86"/>
        <v>72824.815360000008</v>
      </c>
      <c r="L191" s="88">
        <f t="shared" si="86"/>
        <v>-47488.50663999992</v>
      </c>
      <c r="M191" s="353">
        <f t="shared" si="86"/>
        <v>-26386.589259999921</v>
      </c>
      <c r="N191" s="88">
        <f t="shared" ref="N191" si="87">N10-N41</f>
        <v>0</v>
      </c>
    </row>
    <row r="192" spans="1:14" ht="13.5" thickBot="1" x14ac:dyDescent="0.25">
      <c r="A192" s="87"/>
      <c r="B192" s="321"/>
      <c r="C192" s="321"/>
      <c r="D192" s="322"/>
      <c r="E192" s="322" t="s">
        <v>421</v>
      </c>
      <c r="F192" s="323"/>
      <c r="G192" s="121">
        <v>146</v>
      </c>
      <c r="H192" s="408"/>
      <c r="I192" s="324">
        <f>SUM(J192:M192)</f>
        <v>64150</v>
      </c>
      <c r="J192" s="324">
        <f t="shared" ref="J192:M192" si="88">J177</f>
        <v>17000</v>
      </c>
      <c r="K192" s="324">
        <f t="shared" si="88"/>
        <v>17000</v>
      </c>
      <c r="L192" s="324">
        <f t="shared" si="88"/>
        <v>17000</v>
      </c>
      <c r="M192" s="372">
        <f t="shared" si="88"/>
        <v>13150</v>
      </c>
      <c r="N192" s="324">
        <f t="shared" ref="N192" si="89">N177</f>
        <v>0</v>
      </c>
    </row>
    <row r="193" spans="1:14" ht="13.5" thickBot="1" x14ac:dyDescent="0.25">
      <c r="A193" s="84"/>
      <c r="B193" s="71"/>
      <c r="C193" s="71"/>
      <c r="D193" s="322"/>
      <c r="E193" s="322" t="s">
        <v>297</v>
      </c>
      <c r="F193" s="323"/>
      <c r="G193" s="121">
        <v>147</v>
      </c>
      <c r="H193" s="408"/>
      <c r="I193" s="324">
        <f>SUM(J193:M193)</f>
        <v>60000</v>
      </c>
      <c r="J193" s="101">
        <f t="shared" ref="J193:M193" si="90">J174</f>
        <v>0</v>
      </c>
      <c r="K193" s="101">
        <f t="shared" si="90"/>
        <v>0</v>
      </c>
      <c r="L193" s="101">
        <f t="shared" si="90"/>
        <v>0</v>
      </c>
      <c r="M193" s="101">
        <f t="shared" si="90"/>
        <v>60000</v>
      </c>
      <c r="N193" s="242">
        <f>N173</f>
        <v>0</v>
      </c>
    </row>
    <row r="194" spans="1:14" ht="13.5" thickBot="1" x14ac:dyDescent="0.25">
      <c r="A194" s="87" t="s">
        <v>132</v>
      </c>
      <c r="B194" s="321"/>
      <c r="C194" s="321"/>
      <c r="D194" s="1023" t="s">
        <v>133</v>
      </c>
      <c r="E194" s="1025"/>
      <c r="F194" s="292"/>
      <c r="G194" s="284">
        <f t="shared" si="79"/>
        <v>148</v>
      </c>
      <c r="H194" s="284"/>
      <c r="I194" s="324">
        <f>SUM(J194:M194)</f>
        <v>15158.091843200029</v>
      </c>
      <c r="J194" s="88">
        <f t="shared" ref="J194:M194" si="91">(J191+J193)*16%</f>
        <v>5726.1367296000017</v>
      </c>
      <c r="K194" s="88">
        <f t="shared" si="91"/>
        <v>11651.970457600002</v>
      </c>
      <c r="L194" s="88">
        <f t="shared" si="91"/>
        <v>-7598.1610623999877</v>
      </c>
      <c r="M194" s="353">
        <f t="shared" si="91"/>
        <v>5378.1457184000128</v>
      </c>
      <c r="N194" s="88">
        <f>(N191+N193)*16%</f>
        <v>0</v>
      </c>
    </row>
    <row r="195" spans="1:14" x14ac:dyDescent="0.2">
      <c r="A195" s="326" t="s">
        <v>134</v>
      </c>
      <c r="B195" s="330"/>
      <c r="C195" s="331"/>
      <c r="D195" s="1043" t="s">
        <v>422</v>
      </c>
      <c r="E195" s="1044"/>
      <c r="F195" s="338"/>
      <c r="G195" s="339">
        <v>149</v>
      </c>
      <c r="H195" s="339"/>
      <c r="I195" s="340"/>
      <c r="J195" s="340"/>
      <c r="K195" s="340"/>
      <c r="L195" s="340"/>
      <c r="M195" s="373"/>
      <c r="N195" s="381"/>
    </row>
    <row r="196" spans="1:14" x14ac:dyDescent="0.2">
      <c r="A196" s="327" t="s">
        <v>141</v>
      </c>
      <c r="B196" s="332"/>
      <c r="C196" s="333"/>
      <c r="D196" s="1035" t="s">
        <v>423</v>
      </c>
      <c r="E196" s="1036"/>
      <c r="F196" s="325"/>
      <c r="G196" s="121">
        <v>150</v>
      </c>
      <c r="H196" s="121"/>
      <c r="I196" s="122"/>
      <c r="J196" s="122"/>
      <c r="K196" s="122"/>
      <c r="L196" s="122"/>
      <c r="M196" s="374"/>
      <c r="N196" s="382"/>
    </row>
    <row r="197" spans="1:14" x14ac:dyDescent="0.2">
      <c r="A197" s="328" t="s">
        <v>143</v>
      </c>
      <c r="B197" s="334"/>
      <c r="C197" s="335"/>
      <c r="D197" s="1037" t="s">
        <v>424</v>
      </c>
      <c r="E197" s="1038"/>
      <c r="F197" s="280"/>
      <c r="G197" s="251">
        <v>151</v>
      </c>
      <c r="H197" s="251"/>
      <c r="I197" s="252"/>
      <c r="J197" s="252"/>
      <c r="K197" s="252"/>
      <c r="L197" s="252"/>
      <c r="M197" s="375"/>
      <c r="N197" s="383"/>
    </row>
    <row r="198" spans="1:14" ht="22.5" customHeight="1" thickBot="1" x14ac:dyDescent="0.25">
      <c r="A198" s="329" t="s">
        <v>150</v>
      </c>
      <c r="B198" s="336"/>
      <c r="C198" s="337"/>
      <c r="D198" s="1039" t="s">
        <v>425</v>
      </c>
      <c r="E198" s="1040"/>
      <c r="F198" s="341"/>
      <c r="G198" s="342">
        <v>152</v>
      </c>
      <c r="H198" s="342"/>
      <c r="I198" s="343"/>
      <c r="J198" s="343"/>
      <c r="K198" s="343"/>
      <c r="L198" s="343"/>
      <c r="M198" s="376"/>
      <c r="N198" s="384"/>
    </row>
  </sheetData>
  <mergeCells count="121">
    <mergeCell ref="D196:E196"/>
    <mergeCell ref="D197:E197"/>
    <mergeCell ref="D198:E198"/>
    <mergeCell ref="E4:J4"/>
    <mergeCell ref="E5:J5"/>
    <mergeCell ref="D186:E186"/>
    <mergeCell ref="D189:E189"/>
    <mergeCell ref="D190:E190"/>
    <mergeCell ref="D191:E191"/>
    <mergeCell ref="D194:E194"/>
    <mergeCell ref="D195:E195"/>
    <mergeCell ref="D169:E169"/>
    <mergeCell ref="D163:E163"/>
    <mergeCell ref="D164:E164"/>
    <mergeCell ref="C165:E165"/>
    <mergeCell ref="D166:E166"/>
    <mergeCell ref="D167:E167"/>
    <mergeCell ref="D168:E168"/>
    <mergeCell ref="D157:E157"/>
    <mergeCell ref="D158:E158"/>
    <mergeCell ref="D159:E159"/>
    <mergeCell ref="D160:E160"/>
    <mergeCell ref="D161:E161"/>
    <mergeCell ref="D162:E162"/>
    <mergeCell ref="A170:A190"/>
    <mergeCell ref="B170:B173"/>
    <mergeCell ref="D170:E170"/>
    <mergeCell ref="D171:E171"/>
    <mergeCell ref="D172:E172"/>
    <mergeCell ref="D173:E173"/>
    <mergeCell ref="D182:E182"/>
    <mergeCell ref="B183:B189"/>
    <mergeCell ref="D183:E183"/>
    <mergeCell ref="D149:E149"/>
    <mergeCell ref="C150:C156"/>
    <mergeCell ref="D150:E150"/>
    <mergeCell ref="D153:E153"/>
    <mergeCell ref="D156:E156"/>
    <mergeCell ref="D141:E141"/>
    <mergeCell ref="D142:E142"/>
    <mergeCell ref="D143:E143"/>
    <mergeCell ref="D144:E144"/>
    <mergeCell ref="D145:E145"/>
    <mergeCell ref="D146:E146"/>
    <mergeCell ref="A120:A169"/>
    <mergeCell ref="B120:B169"/>
    <mergeCell ref="D120:E120"/>
    <mergeCell ref="D121:E121"/>
    <mergeCell ref="C131:E131"/>
    <mergeCell ref="D132:E132"/>
    <mergeCell ref="D133:E133"/>
    <mergeCell ref="D99:E99"/>
    <mergeCell ref="D100:E100"/>
    <mergeCell ref="D101:E101"/>
    <mergeCell ref="D110:E110"/>
    <mergeCell ref="C115:E115"/>
    <mergeCell ref="D116:E116"/>
    <mergeCell ref="C134:C136"/>
    <mergeCell ref="D134:E134"/>
    <mergeCell ref="D135:E135"/>
    <mergeCell ref="D136:E136"/>
    <mergeCell ref="D137:E137"/>
    <mergeCell ref="D138:E138"/>
    <mergeCell ref="D117:E117"/>
    <mergeCell ref="D118:E118"/>
    <mergeCell ref="D119:E119"/>
    <mergeCell ref="D147:E147"/>
    <mergeCell ref="D148:E148"/>
    <mergeCell ref="A71:A119"/>
    <mergeCell ref="B71:B119"/>
    <mergeCell ref="D74:E74"/>
    <mergeCell ref="D75:E75"/>
    <mergeCell ref="D76:E76"/>
    <mergeCell ref="D93:E93"/>
    <mergeCell ref="D94:E94"/>
    <mergeCell ref="D95:E95"/>
    <mergeCell ref="D96:E96"/>
    <mergeCell ref="D97:E97"/>
    <mergeCell ref="D98:E98"/>
    <mergeCell ref="D77:E77"/>
    <mergeCell ref="D78:E78"/>
    <mergeCell ref="D79:E79"/>
    <mergeCell ref="D86:E86"/>
    <mergeCell ref="D91:E91"/>
    <mergeCell ref="D92:E92"/>
    <mergeCell ref="B41:E41"/>
    <mergeCell ref="A42:A70"/>
    <mergeCell ref="C42:E42"/>
    <mergeCell ref="B43:B70"/>
    <mergeCell ref="C43:E43"/>
    <mergeCell ref="D44:E44"/>
    <mergeCell ref="D45:E45"/>
    <mergeCell ref="D46:E46"/>
    <mergeCell ref="D57:E57"/>
    <mergeCell ref="D58:E58"/>
    <mergeCell ref="D64:E64"/>
    <mergeCell ref="D65:E65"/>
    <mergeCell ref="D66:E66"/>
    <mergeCell ref="D70:E70"/>
    <mergeCell ref="A1:D1"/>
    <mergeCell ref="A3:D3"/>
    <mergeCell ref="A8:B8"/>
    <mergeCell ref="B10:E10"/>
    <mergeCell ref="A11:A40"/>
    <mergeCell ref="C11:E11"/>
    <mergeCell ref="B12:B25"/>
    <mergeCell ref="D12:E12"/>
    <mergeCell ref="D20:E20"/>
    <mergeCell ref="B35:B39"/>
    <mergeCell ref="D35:E35"/>
    <mergeCell ref="D36:E36"/>
    <mergeCell ref="D37:E37"/>
    <mergeCell ref="D38:E38"/>
    <mergeCell ref="D39:E39"/>
    <mergeCell ref="D21:E21"/>
    <mergeCell ref="C22:C23"/>
    <mergeCell ref="D24:E24"/>
    <mergeCell ref="D25:E25"/>
    <mergeCell ref="D26:E26"/>
    <mergeCell ref="D34:E34"/>
    <mergeCell ref="D40:E4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8"/>
  <sheetViews>
    <sheetView topLeftCell="A166" zoomScale="110" zoomScaleNormal="110" workbookViewId="0">
      <selection activeCell="E5" sqref="E5:J5"/>
    </sheetView>
  </sheetViews>
  <sheetFormatPr defaultRowHeight="11.25" x14ac:dyDescent="0.2"/>
  <cols>
    <col min="1" max="1" width="3.42578125" style="51" bestFit="1" customWidth="1"/>
    <col min="2" max="2" width="1.85546875" style="51" bestFit="1" customWidth="1"/>
    <col min="3" max="3" width="3" style="51" bestFit="1" customWidth="1"/>
    <col min="4" max="4" width="4.7109375" style="51" bestFit="1" customWidth="1"/>
    <col min="5" max="5" width="49" style="51" customWidth="1"/>
    <col min="6" max="6" width="12.5703125" style="51" customWidth="1"/>
    <col min="7" max="7" width="4.42578125" style="51" bestFit="1" customWidth="1"/>
    <col min="8" max="8" width="6.140625" style="51" customWidth="1"/>
    <col min="9" max="12" width="10.42578125" style="51" bestFit="1" customWidth="1"/>
    <col min="13" max="13" width="8.7109375" style="51" bestFit="1" customWidth="1"/>
    <col min="14" max="14" width="11.7109375" style="51" customWidth="1"/>
    <col min="15" max="16384" width="9.140625" style="51"/>
  </cols>
  <sheetData>
    <row r="1" spans="1:14" x14ac:dyDescent="0.2">
      <c r="A1" s="83" t="s">
        <v>0</v>
      </c>
      <c r="B1" s="83"/>
      <c r="C1" s="83"/>
      <c r="D1" s="83"/>
      <c r="E1" s="73" t="s">
        <v>672</v>
      </c>
    </row>
    <row r="2" spans="1:14" x14ac:dyDescent="0.2">
      <c r="A2" s="938"/>
      <c r="B2" s="938"/>
      <c r="C2" s="938"/>
      <c r="D2" s="938"/>
      <c r="E2" s="466"/>
      <c r="F2" s="466"/>
      <c r="K2" s="53" t="s">
        <v>11</v>
      </c>
    </row>
    <row r="3" spans="1:14" x14ac:dyDescent="0.2">
      <c r="A3" s="938"/>
      <c r="B3" s="938"/>
      <c r="C3" s="938"/>
      <c r="D3" s="938"/>
      <c r="E3" s="466"/>
      <c r="F3" s="466"/>
    </row>
    <row r="4" spans="1:14" x14ac:dyDescent="0.2">
      <c r="A4" s="466"/>
      <c r="B4" s="466"/>
      <c r="C4" s="466"/>
      <c r="E4" s="1047" t="s">
        <v>3</v>
      </c>
      <c r="F4" s="1047"/>
      <c r="G4" s="1047"/>
      <c r="H4" s="1047"/>
      <c r="I4" s="1047"/>
      <c r="J4" s="1047"/>
      <c r="K4" s="83"/>
      <c r="L4" s="83"/>
      <c r="M4" s="51">
        <v>1000</v>
      </c>
    </row>
    <row r="5" spans="1:14" x14ac:dyDescent="0.2">
      <c r="A5" s="466"/>
      <c r="B5" s="466"/>
      <c r="C5" s="466"/>
      <c r="D5" s="83"/>
      <c r="E5" s="1048" t="s">
        <v>657</v>
      </c>
      <c r="F5" s="1048"/>
      <c r="G5" s="1048"/>
      <c r="H5" s="1048"/>
      <c r="I5" s="1048"/>
      <c r="J5" s="1048"/>
      <c r="K5" s="83"/>
    </row>
    <row r="6" spans="1:14" x14ac:dyDescent="0.2">
      <c r="A6" s="466"/>
      <c r="B6" s="466"/>
      <c r="C6" s="466"/>
      <c r="D6" s="83"/>
      <c r="E6" s="83"/>
      <c r="F6" s="83"/>
      <c r="G6" s="83"/>
      <c r="H6" s="83"/>
      <c r="I6" s="83"/>
      <c r="J6" s="83"/>
      <c r="K6" s="83"/>
    </row>
    <row r="7" spans="1:14" ht="12" thickBot="1" x14ac:dyDescent="0.25">
      <c r="A7" s="466"/>
      <c r="B7" s="466"/>
      <c r="C7" s="466"/>
      <c r="D7" s="83"/>
      <c r="E7" s="466"/>
      <c r="F7" s="466"/>
      <c r="G7" s="83"/>
      <c r="H7" s="83"/>
      <c r="I7" s="83"/>
      <c r="J7" s="83"/>
      <c r="K7" s="83"/>
    </row>
    <row r="8" spans="1:14" ht="38.25" customHeight="1" thickBot="1" x14ac:dyDescent="0.25">
      <c r="A8" s="980" t="s">
        <v>308</v>
      </c>
      <c r="B8" s="981"/>
      <c r="C8" s="84"/>
      <c r="D8" s="84"/>
      <c r="E8" s="85" t="s">
        <v>15</v>
      </c>
      <c r="F8" s="85" t="s">
        <v>551</v>
      </c>
      <c r="G8" s="84" t="s">
        <v>309</v>
      </c>
      <c r="H8" s="84"/>
      <c r="I8" s="86" t="s">
        <v>661</v>
      </c>
      <c r="J8" s="84" t="s">
        <v>310</v>
      </c>
      <c r="K8" s="84" t="s">
        <v>311</v>
      </c>
      <c r="L8" s="84" t="s">
        <v>312</v>
      </c>
      <c r="M8" s="462" t="s">
        <v>313</v>
      </c>
      <c r="N8" s="379" t="s">
        <v>658</v>
      </c>
    </row>
    <row r="9" spans="1:14" ht="12" thickBot="1" x14ac:dyDescent="0.25">
      <c r="A9" s="84" t="s">
        <v>30</v>
      </c>
      <c r="B9" s="84"/>
      <c r="C9" s="84"/>
      <c r="D9" s="84"/>
      <c r="E9" s="85" t="s">
        <v>4</v>
      </c>
      <c r="F9" s="281"/>
      <c r="G9" s="84" t="s">
        <v>314</v>
      </c>
      <c r="H9" s="84"/>
      <c r="I9" s="84" t="s">
        <v>21</v>
      </c>
      <c r="J9" s="84" t="s">
        <v>17</v>
      </c>
      <c r="K9" s="84" t="s">
        <v>18</v>
      </c>
      <c r="L9" s="84" t="s">
        <v>24</v>
      </c>
      <c r="M9" s="462" t="s">
        <v>19</v>
      </c>
      <c r="N9" s="504"/>
    </row>
    <row r="10" spans="1:14" ht="12" thickBot="1" x14ac:dyDescent="0.25">
      <c r="A10" s="87" t="s">
        <v>215</v>
      </c>
      <c r="B10" s="968" t="s">
        <v>462</v>
      </c>
      <c r="C10" s="1011"/>
      <c r="D10" s="1011"/>
      <c r="E10" s="969"/>
      <c r="F10" s="459"/>
      <c r="G10" s="87" t="s">
        <v>4</v>
      </c>
      <c r="H10" s="87"/>
      <c r="I10" s="88">
        <f t="shared" ref="I10:N10" si="0">I11+I34+I40</f>
        <v>2597896.5640000002</v>
      </c>
      <c r="J10" s="88">
        <f t="shared" si="0"/>
        <v>577474.14099999995</v>
      </c>
      <c r="K10" s="88">
        <f t="shared" si="0"/>
        <v>698474.14100000006</v>
      </c>
      <c r="L10" s="88">
        <f t="shared" si="0"/>
        <v>629474.14099999995</v>
      </c>
      <c r="M10" s="353">
        <f t="shared" si="0"/>
        <v>692474.14099999995</v>
      </c>
      <c r="N10" s="88">
        <f t="shared" si="0"/>
        <v>0</v>
      </c>
    </row>
    <row r="11" spans="1:14" ht="12" thickBot="1" x14ac:dyDescent="0.25">
      <c r="A11" s="977"/>
      <c r="B11" s="282" t="s">
        <v>4</v>
      </c>
      <c r="C11" s="1015" t="s">
        <v>113</v>
      </c>
      <c r="D11" s="1016"/>
      <c r="E11" s="1017"/>
      <c r="F11" s="283"/>
      <c r="G11" s="284">
        <f>G10+1</f>
        <v>2</v>
      </c>
      <c r="H11" s="284"/>
      <c r="I11" s="285">
        <f t="shared" ref="I11:N11" si="1">I12+I20+I21+I24+I25+I26</f>
        <v>2597879.8600000003</v>
      </c>
      <c r="J11" s="285">
        <f t="shared" si="1"/>
        <v>577469.96499999997</v>
      </c>
      <c r="K11" s="285">
        <f t="shared" si="1"/>
        <v>698469.96500000008</v>
      </c>
      <c r="L11" s="285">
        <f t="shared" si="1"/>
        <v>629469.96499999997</v>
      </c>
      <c r="M11" s="354">
        <f t="shared" si="1"/>
        <v>692469.96499999997</v>
      </c>
      <c r="N11" s="285">
        <f t="shared" si="1"/>
        <v>0</v>
      </c>
    </row>
    <row r="12" spans="1:14" ht="12" thickBot="1" x14ac:dyDescent="0.25">
      <c r="A12" s="978"/>
      <c r="B12" s="1018"/>
      <c r="C12" s="71" t="s">
        <v>27</v>
      </c>
      <c r="D12" s="973" t="s">
        <v>315</v>
      </c>
      <c r="E12" s="974"/>
      <c r="F12" s="463">
        <v>70</v>
      </c>
      <c r="G12" s="84">
        <f>G11+1</f>
        <v>3</v>
      </c>
      <c r="H12" s="84"/>
      <c r="I12" s="89">
        <f t="shared" ref="I12:N12" si="2">I13+I14+I18+I19</f>
        <v>2062309.4680000001</v>
      </c>
      <c r="J12" s="89">
        <f t="shared" si="2"/>
        <v>491077.36699999997</v>
      </c>
      <c r="K12" s="89">
        <f t="shared" si="2"/>
        <v>556077.36700000009</v>
      </c>
      <c r="L12" s="89">
        <f t="shared" si="2"/>
        <v>495077.36699999997</v>
      </c>
      <c r="M12" s="113">
        <f t="shared" si="2"/>
        <v>520077.36699999997</v>
      </c>
      <c r="N12" s="89">
        <f t="shared" si="2"/>
        <v>0</v>
      </c>
    </row>
    <row r="13" spans="1:14" ht="12" thickBot="1" x14ac:dyDescent="0.25">
      <c r="A13" s="978"/>
      <c r="B13" s="1019"/>
      <c r="C13" s="71"/>
      <c r="D13" s="71" t="s">
        <v>237</v>
      </c>
      <c r="E13" s="71" t="s">
        <v>316</v>
      </c>
      <c r="F13" s="86"/>
      <c r="G13" s="84">
        <f t="shared" ref="G13:G76" si="3">G12+1</f>
        <v>4</v>
      </c>
      <c r="H13" s="84"/>
      <c r="I13" s="89">
        <f>SUM(J13:M13)</f>
        <v>0</v>
      </c>
      <c r="J13" s="89"/>
      <c r="K13" s="89"/>
      <c r="L13" s="89"/>
      <c r="M13" s="113"/>
      <c r="N13" s="89"/>
    </row>
    <row r="14" spans="1:14" ht="12" thickBot="1" x14ac:dyDescent="0.25">
      <c r="A14" s="978"/>
      <c r="B14" s="1019"/>
      <c r="C14" s="71"/>
      <c r="D14" s="71" t="s">
        <v>66</v>
      </c>
      <c r="E14" s="71" t="s">
        <v>317</v>
      </c>
      <c r="F14" s="86">
        <v>704</v>
      </c>
      <c r="G14" s="84">
        <f>G13+1</f>
        <v>5</v>
      </c>
      <c r="H14" s="84"/>
      <c r="I14" s="89">
        <f>SUM(J14:M14)</f>
        <v>2043527.7280000001</v>
      </c>
      <c r="J14" s="93">
        <f>J15+J16+J17</f>
        <v>486381.93199999997</v>
      </c>
      <c r="K14" s="93">
        <f>K15+K16+K17</f>
        <v>551381.93200000003</v>
      </c>
      <c r="L14" s="93">
        <f>L15+L16+L17</f>
        <v>490381.93199999997</v>
      </c>
      <c r="M14" s="93">
        <f>M15+M16+M17</f>
        <v>515381.93199999997</v>
      </c>
      <c r="N14" s="91"/>
    </row>
    <row r="15" spans="1:14" ht="12" thickBot="1" x14ac:dyDescent="0.25">
      <c r="A15" s="978"/>
      <c r="B15" s="1019"/>
      <c r="C15" s="71"/>
      <c r="D15" s="71"/>
      <c r="E15" s="71"/>
      <c r="F15" s="286" t="s">
        <v>552</v>
      </c>
      <c r="G15" s="84"/>
      <c r="H15" s="84"/>
      <c r="I15" s="89"/>
      <c r="J15" s="93">
        <v>345000</v>
      </c>
      <c r="K15" s="93">
        <v>390000</v>
      </c>
      <c r="L15" s="93">
        <v>349000</v>
      </c>
      <c r="M15" s="93">
        <v>360000</v>
      </c>
      <c r="N15" s="91"/>
    </row>
    <row r="16" spans="1:14" ht="12" thickBot="1" x14ac:dyDescent="0.25">
      <c r="A16" s="978"/>
      <c r="B16" s="1019"/>
      <c r="C16" s="71"/>
      <c r="D16" s="71"/>
      <c r="E16" s="71"/>
      <c r="F16" s="286" t="s">
        <v>553</v>
      </c>
      <c r="G16" s="84"/>
      <c r="H16" s="84"/>
      <c r="I16" s="89"/>
      <c r="J16" s="93">
        <v>140000</v>
      </c>
      <c r="K16" s="93">
        <v>160000</v>
      </c>
      <c r="L16" s="93">
        <v>140000</v>
      </c>
      <c r="M16" s="358">
        <v>154000</v>
      </c>
      <c r="N16" s="91"/>
    </row>
    <row r="17" spans="1:14" ht="12" thickBot="1" x14ac:dyDescent="0.25">
      <c r="A17" s="978"/>
      <c r="B17" s="1019"/>
      <c r="C17" s="71"/>
      <c r="D17" s="71"/>
      <c r="E17" s="71"/>
      <c r="F17" s="286" t="s">
        <v>554</v>
      </c>
      <c r="G17" s="84"/>
      <c r="H17" s="84"/>
      <c r="I17" s="89"/>
      <c r="J17" s="93">
        <f>'[3]VENITURI-total'!C22</f>
        <v>1381.9319999999998</v>
      </c>
      <c r="K17" s="93">
        <f>'[3]VENITURI-total'!C26</f>
        <v>1381.9319999999998</v>
      </c>
      <c r="L17" s="93">
        <f>'[3]VENITURI-total'!C30</f>
        <v>1381.9319999999998</v>
      </c>
      <c r="M17" s="358">
        <f>'[3]VENITURI-total'!C34</f>
        <v>1381.9319999999998</v>
      </c>
      <c r="N17" s="91"/>
    </row>
    <row r="18" spans="1:14" ht="23.25" thickBot="1" x14ac:dyDescent="0.25">
      <c r="A18" s="978"/>
      <c r="B18" s="1019"/>
      <c r="C18" s="71"/>
      <c r="D18" s="71" t="s">
        <v>318</v>
      </c>
      <c r="E18" s="71" t="s">
        <v>319</v>
      </c>
      <c r="F18" s="86" t="s">
        <v>555</v>
      </c>
      <c r="G18" s="84">
        <f>G14+1</f>
        <v>6</v>
      </c>
      <c r="H18" s="84"/>
      <c r="I18" s="287">
        <f>SUM(J18:M18)</f>
        <v>7987.9319999999989</v>
      </c>
      <c r="J18" s="288">
        <f>'[3]VENITURI-total'!E22</f>
        <v>1996.9829999999997</v>
      </c>
      <c r="K18" s="288">
        <f>'[3]VENITURI-total'!E26</f>
        <v>1996.9829999999997</v>
      </c>
      <c r="L18" s="288">
        <f>'[3]VENITURI-total'!E30</f>
        <v>1996.9829999999997</v>
      </c>
      <c r="M18" s="356">
        <f>'[3]VENITURI-total'!E34</f>
        <v>1996.9829999999997</v>
      </c>
      <c r="N18" s="289"/>
    </row>
    <row r="19" spans="1:14" ht="23.25" thickBot="1" x14ac:dyDescent="0.25">
      <c r="A19" s="978"/>
      <c r="B19" s="1019"/>
      <c r="C19" s="71"/>
      <c r="D19" s="71" t="s">
        <v>320</v>
      </c>
      <c r="E19" s="71" t="s">
        <v>321</v>
      </c>
      <c r="F19" s="86" t="s">
        <v>556</v>
      </c>
      <c r="G19" s="84">
        <f t="shared" si="3"/>
        <v>7</v>
      </c>
      <c r="H19" s="84"/>
      <c r="I19" s="287">
        <f>SUM(J19:M19)</f>
        <v>10793.808000000001</v>
      </c>
      <c r="J19" s="288">
        <f>'[3]VENITURI-total'!F22</f>
        <v>2698.4520000000002</v>
      </c>
      <c r="K19" s="288">
        <f>'[3]VENITURI-total'!F26</f>
        <v>2698.4520000000002</v>
      </c>
      <c r="L19" s="288">
        <f>'[3]VENITURI-total'!F30</f>
        <v>2698.4520000000002</v>
      </c>
      <c r="M19" s="356">
        <f>'[3]VENITURI-total'!F34</f>
        <v>2698.4520000000002</v>
      </c>
      <c r="N19" s="289"/>
    </row>
    <row r="20" spans="1:14" ht="12" thickBot="1" x14ac:dyDescent="0.25">
      <c r="A20" s="978"/>
      <c r="B20" s="1019"/>
      <c r="C20" s="71" t="s">
        <v>38</v>
      </c>
      <c r="D20" s="973" t="s">
        <v>322</v>
      </c>
      <c r="E20" s="974"/>
      <c r="F20" s="463"/>
      <c r="G20" s="84">
        <f t="shared" si="3"/>
        <v>8</v>
      </c>
      <c r="H20" s="84"/>
      <c r="I20" s="89"/>
      <c r="J20" s="89"/>
      <c r="K20" s="89"/>
      <c r="L20" s="89"/>
      <c r="M20" s="113"/>
      <c r="N20" s="89"/>
    </row>
    <row r="21" spans="1:14" ht="26.25" customHeight="1" thickBot="1" x14ac:dyDescent="0.25">
      <c r="A21" s="978"/>
      <c r="B21" s="1019"/>
      <c r="C21" s="71" t="s">
        <v>40</v>
      </c>
      <c r="D21" s="973" t="s">
        <v>323</v>
      </c>
      <c r="E21" s="974"/>
      <c r="F21" s="463"/>
      <c r="G21" s="84">
        <f t="shared" si="3"/>
        <v>9</v>
      </c>
      <c r="H21" s="84"/>
      <c r="I21" s="89">
        <f t="shared" ref="I21:N21" si="4">I22+I23</f>
        <v>0</v>
      </c>
      <c r="J21" s="89">
        <f t="shared" si="4"/>
        <v>0</v>
      </c>
      <c r="K21" s="89">
        <f t="shared" si="4"/>
        <v>0</v>
      </c>
      <c r="L21" s="89">
        <f t="shared" si="4"/>
        <v>0</v>
      </c>
      <c r="M21" s="113">
        <f t="shared" si="4"/>
        <v>0</v>
      </c>
      <c r="N21" s="89">
        <f t="shared" si="4"/>
        <v>0</v>
      </c>
    </row>
    <row r="22" spans="1:14" ht="34.5" thickBot="1" x14ac:dyDescent="0.25">
      <c r="A22" s="978"/>
      <c r="B22" s="1019"/>
      <c r="C22" s="1018"/>
      <c r="D22" s="71" t="s">
        <v>324</v>
      </c>
      <c r="E22" s="71" t="s">
        <v>325</v>
      </c>
      <c r="F22" s="86" t="s">
        <v>557</v>
      </c>
      <c r="G22" s="84">
        <f t="shared" si="3"/>
        <v>10</v>
      </c>
      <c r="H22" s="84"/>
      <c r="I22" s="89">
        <f>SUM(J22:M22)</f>
        <v>0</v>
      </c>
      <c r="J22" s="89"/>
      <c r="K22" s="89"/>
      <c r="L22" s="89"/>
      <c r="M22" s="113"/>
      <c r="N22" s="505"/>
    </row>
    <row r="23" spans="1:14" ht="12" thickBot="1" x14ac:dyDescent="0.25">
      <c r="A23" s="978"/>
      <c r="B23" s="1019"/>
      <c r="C23" s="1020"/>
      <c r="D23" s="71" t="s">
        <v>67</v>
      </c>
      <c r="E23" s="71" t="s">
        <v>32</v>
      </c>
      <c r="F23" s="86"/>
      <c r="G23" s="84">
        <f t="shared" si="3"/>
        <v>11</v>
      </c>
      <c r="H23" s="84"/>
      <c r="I23" s="92">
        <f>SUM(J23:M23)</f>
        <v>0</v>
      </c>
      <c r="J23" s="92"/>
      <c r="K23" s="92"/>
      <c r="L23" s="92"/>
      <c r="M23" s="357"/>
      <c r="N23" s="505"/>
    </row>
    <row r="24" spans="1:14" ht="23.25" thickBot="1" x14ac:dyDescent="0.25">
      <c r="A24" s="978"/>
      <c r="B24" s="1019"/>
      <c r="C24" s="71" t="s">
        <v>42</v>
      </c>
      <c r="D24" s="973" t="s">
        <v>326</v>
      </c>
      <c r="E24" s="974"/>
      <c r="F24" s="463" t="s">
        <v>558</v>
      </c>
      <c r="G24" s="84">
        <f t="shared" si="3"/>
        <v>12</v>
      </c>
      <c r="H24" s="84"/>
      <c r="I24" s="93">
        <f>SUM(J24:M24)</f>
        <v>510000</v>
      </c>
      <c r="J24" s="400">
        <f>'[3]VENITURI-total'!H22</f>
        <v>80000</v>
      </c>
      <c r="K24" s="400">
        <v>136000</v>
      </c>
      <c r="L24" s="400">
        <v>128000</v>
      </c>
      <c r="M24" s="401">
        <v>166000</v>
      </c>
      <c r="N24" s="505"/>
    </row>
    <row r="25" spans="1:14" ht="12" thickBot="1" x14ac:dyDescent="0.25">
      <c r="A25" s="978"/>
      <c r="B25" s="1020"/>
      <c r="C25" s="71" t="s">
        <v>28</v>
      </c>
      <c r="D25" s="973" t="s">
        <v>327</v>
      </c>
      <c r="E25" s="974"/>
      <c r="F25" s="463"/>
      <c r="G25" s="84">
        <f t="shared" si="3"/>
        <v>13</v>
      </c>
      <c r="H25" s="84"/>
      <c r="I25" s="93"/>
      <c r="J25" s="93"/>
      <c r="K25" s="93"/>
      <c r="L25" s="93"/>
      <c r="M25" s="358"/>
      <c r="N25" s="505"/>
    </row>
    <row r="26" spans="1:14" ht="25.5" customHeight="1" thickBot="1" x14ac:dyDescent="0.25">
      <c r="A26" s="978"/>
      <c r="B26" s="71"/>
      <c r="C26" s="71" t="s">
        <v>34</v>
      </c>
      <c r="D26" s="973" t="s">
        <v>328</v>
      </c>
      <c r="E26" s="974"/>
      <c r="F26" s="463"/>
      <c r="G26" s="84">
        <f>G25+1</f>
        <v>14</v>
      </c>
      <c r="H26" s="84"/>
      <c r="I26" s="93">
        <f t="shared" ref="I26:N26" si="5">I27+I28+I31+I32+I33</f>
        <v>25570.391999999996</v>
      </c>
      <c r="J26" s="93">
        <f t="shared" si="5"/>
        <v>6392.597999999999</v>
      </c>
      <c r="K26" s="93">
        <f t="shared" si="5"/>
        <v>6392.597999999999</v>
      </c>
      <c r="L26" s="93">
        <f t="shared" si="5"/>
        <v>6392.597999999999</v>
      </c>
      <c r="M26" s="358">
        <f t="shared" si="5"/>
        <v>6392.597999999999</v>
      </c>
      <c r="N26" s="93">
        <f t="shared" si="5"/>
        <v>0</v>
      </c>
    </row>
    <row r="27" spans="1:14" ht="34.5" thickBot="1" x14ac:dyDescent="0.25">
      <c r="A27" s="978"/>
      <c r="B27" s="71"/>
      <c r="C27" s="71"/>
      <c r="D27" s="71" t="s">
        <v>329</v>
      </c>
      <c r="E27" s="71" t="s">
        <v>330</v>
      </c>
      <c r="F27" s="86" t="s">
        <v>559</v>
      </c>
      <c r="G27" s="84">
        <f t="shared" si="3"/>
        <v>15</v>
      </c>
      <c r="H27" s="84"/>
      <c r="I27" s="93">
        <f>SUM(J27:M27)</f>
        <v>24942.983999999997</v>
      </c>
      <c r="J27" s="402">
        <f>'[3]VENITURI-total'!I22</f>
        <v>6235.7459999999992</v>
      </c>
      <c r="K27" s="402">
        <f>'[3]VENITURI-total'!I26</f>
        <v>6235.7459999999992</v>
      </c>
      <c r="L27" s="402">
        <f>'[3]VENITURI-total'!I30</f>
        <v>6235.7459999999992</v>
      </c>
      <c r="M27" s="403">
        <f>'[3]VENITURI-total'!I34</f>
        <v>6235.7459999999992</v>
      </c>
      <c r="N27" s="505"/>
    </row>
    <row r="28" spans="1:14" ht="23.25" thickBot="1" x14ac:dyDescent="0.25">
      <c r="A28" s="978"/>
      <c r="B28" s="71"/>
      <c r="C28" s="71"/>
      <c r="D28" s="71" t="s">
        <v>52</v>
      </c>
      <c r="E28" s="71" t="s">
        <v>331</v>
      </c>
      <c r="F28" s="86"/>
      <c r="G28" s="84">
        <f t="shared" si="3"/>
        <v>16</v>
      </c>
      <c r="H28" s="84"/>
      <c r="I28" s="93">
        <f t="shared" ref="I28:N28" si="6">SUM(I29:I30)</f>
        <v>0</v>
      </c>
      <c r="J28" s="93">
        <f t="shared" si="6"/>
        <v>0</v>
      </c>
      <c r="K28" s="93">
        <f t="shared" si="6"/>
        <v>0</v>
      </c>
      <c r="L28" s="93">
        <f t="shared" si="6"/>
        <v>0</v>
      </c>
      <c r="M28" s="358">
        <f t="shared" si="6"/>
        <v>0</v>
      </c>
      <c r="N28" s="93">
        <f t="shared" si="6"/>
        <v>0</v>
      </c>
    </row>
    <row r="29" spans="1:14" ht="23.25" thickBot="1" x14ac:dyDescent="0.25">
      <c r="A29" s="978"/>
      <c r="B29" s="71"/>
      <c r="C29" s="71"/>
      <c r="D29" s="71"/>
      <c r="E29" s="71" t="s">
        <v>332</v>
      </c>
      <c r="F29" s="86" t="s">
        <v>560</v>
      </c>
      <c r="G29" s="84">
        <f t="shared" si="3"/>
        <v>17</v>
      </c>
      <c r="H29" s="84"/>
      <c r="I29" s="94">
        <f>SUM(J29:M29)</f>
        <v>0</v>
      </c>
      <c r="J29" s="93">
        <v>0</v>
      </c>
      <c r="K29" s="93">
        <v>0</v>
      </c>
      <c r="L29" s="93">
        <v>0</v>
      </c>
      <c r="M29" s="358">
        <v>0</v>
      </c>
      <c r="N29" s="93">
        <v>0</v>
      </c>
    </row>
    <row r="30" spans="1:14" ht="23.25" thickBot="1" x14ac:dyDescent="0.25">
      <c r="A30" s="978"/>
      <c r="B30" s="71"/>
      <c r="C30" s="71"/>
      <c r="D30" s="71"/>
      <c r="E30" s="71" t="s">
        <v>333</v>
      </c>
      <c r="F30" s="86" t="s">
        <v>561</v>
      </c>
      <c r="G30" s="84">
        <f t="shared" si="3"/>
        <v>18</v>
      </c>
      <c r="H30" s="84"/>
      <c r="I30" s="94">
        <f>SUM(J30:M30)</f>
        <v>0</v>
      </c>
      <c r="J30" s="93"/>
      <c r="K30" s="93"/>
      <c r="L30" s="93"/>
      <c r="M30" s="358"/>
      <c r="N30" s="93"/>
    </row>
    <row r="31" spans="1:14" ht="23.25" thickBot="1" x14ac:dyDescent="0.25">
      <c r="A31" s="978"/>
      <c r="B31" s="102"/>
      <c r="C31" s="102"/>
      <c r="D31" s="102" t="s">
        <v>53</v>
      </c>
      <c r="E31" s="102" t="s">
        <v>334</v>
      </c>
      <c r="F31" s="290" t="s">
        <v>562</v>
      </c>
      <c r="G31" s="84">
        <f t="shared" si="3"/>
        <v>19</v>
      </c>
      <c r="H31" s="84"/>
      <c r="I31" s="94">
        <f>SUM(J31:M31)</f>
        <v>0</v>
      </c>
      <c r="J31" s="94">
        <v>0</v>
      </c>
      <c r="K31" s="94">
        <v>0</v>
      </c>
      <c r="L31" s="94">
        <v>0</v>
      </c>
      <c r="M31" s="359">
        <v>0</v>
      </c>
      <c r="N31" s="94">
        <v>0</v>
      </c>
    </row>
    <row r="32" spans="1:14" ht="12" thickBot="1" x14ac:dyDescent="0.25">
      <c r="A32" s="978"/>
      <c r="B32" s="102"/>
      <c r="C32" s="102"/>
      <c r="D32" s="102" t="s">
        <v>54</v>
      </c>
      <c r="E32" s="102" t="s">
        <v>335</v>
      </c>
      <c r="F32" s="290"/>
      <c r="G32" s="84">
        <f t="shared" si="3"/>
        <v>20</v>
      </c>
      <c r="H32" s="84"/>
      <c r="I32" s="94">
        <f>SUM(J32:M32)</f>
        <v>0</v>
      </c>
      <c r="J32" s="94"/>
      <c r="K32" s="94"/>
      <c r="L32" s="94"/>
      <c r="M32" s="359"/>
      <c r="N32" s="505"/>
    </row>
    <row r="33" spans="1:14" ht="12" thickBot="1" x14ac:dyDescent="0.25">
      <c r="A33" s="978"/>
      <c r="B33" s="102"/>
      <c r="C33" s="102"/>
      <c r="D33" s="102" t="s">
        <v>55</v>
      </c>
      <c r="E33" s="102" t="s">
        <v>321</v>
      </c>
      <c r="F33" s="290" t="s">
        <v>563</v>
      </c>
      <c r="G33" s="84">
        <f t="shared" si="3"/>
        <v>21</v>
      </c>
      <c r="H33" s="84"/>
      <c r="I33" s="94">
        <f>SUM(J33:M33)</f>
        <v>627.40800000000013</v>
      </c>
      <c r="J33" s="94">
        <f>'[3]VENITURI-total'!L22</f>
        <v>156.85200000000003</v>
      </c>
      <c r="K33" s="94">
        <f>'[3]VENITURI-total'!L26</f>
        <v>156.85200000000003</v>
      </c>
      <c r="L33" s="94">
        <f>'[3]VENITURI-total'!L30</f>
        <v>156.85200000000003</v>
      </c>
      <c r="M33" s="359">
        <f>'[3]VENITURI-total'!L34</f>
        <v>156.85200000000003</v>
      </c>
      <c r="N33" s="505"/>
    </row>
    <row r="34" spans="1:14" ht="19.5" customHeight="1" thickBot="1" x14ac:dyDescent="0.25">
      <c r="A34" s="978"/>
      <c r="B34" s="282" t="s">
        <v>21</v>
      </c>
      <c r="C34" s="282"/>
      <c r="D34" s="1015" t="s">
        <v>336</v>
      </c>
      <c r="E34" s="1017"/>
      <c r="F34" s="283"/>
      <c r="G34" s="284">
        <f t="shared" si="3"/>
        <v>22</v>
      </c>
      <c r="H34" s="284"/>
      <c r="I34" s="291">
        <f t="shared" ref="I34:N34" si="7">I35+I36+I37+I38+I39</f>
        <v>16.704000000000001</v>
      </c>
      <c r="J34" s="291">
        <f t="shared" si="7"/>
        <v>4.1760000000000002</v>
      </c>
      <c r="K34" s="291">
        <f t="shared" si="7"/>
        <v>4.1760000000000002</v>
      </c>
      <c r="L34" s="291">
        <f t="shared" si="7"/>
        <v>4.1760000000000002</v>
      </c>
      <c r="M34" s="360">
        <f t="shared" si="7"/>
        <v>4.1760000000000002</v>
      </c>
      <c r="N34" s="291">
        <f t="shared" si="7"/>
        <v>0</v>
      </c>
    </row>
    <row r="35" spans="1:14" ht="12" thickBot="1" x14ac:dyDescent="0.25">
      <c r="A35" s="978"/>
      <c r="B35" s="1018"/>
      <c r="C35" s="71" t="s">
        <v>27</v>
      </c>
      <c r="D35" s="973" t="s">
        <v>337</v>
      </c>
      <c r="E35" s="974"/>
      <c r="F35" s="463"/>
      <c r="G35" s="84">
        <f t="shared" si="3"/>
        <v>23</v>
      </c>
      <c r="H35" s="84"/>
      <c r="I35" s="93">
        <f t="shared" ref="I35:I40" si="8">SUM(J35:M35)</f>
        <v>0</v>
      </c>
      <c r="J35" s="93"/>
      <c r="K35" s="93"/>
      <c r="L35" s="93"/>
      <c r="M35" s="358"/>
      <c r="N35" s="93"/>
    </row>
    <row r="36" spans="1:14" ht="12" thickBot="1" x14ac:dyDescent="0.25">
      <c r="A36" s="978"/>
      <c r="B36" s="1019"/>
      <c r="C36" s="71" t="s">
        <v>38</v>
      </c>
      <c r="D36" s="973" t="s">
        <v>338</v>
      </c>
      <c r="E36" s="974"/>
      <c r="F36" s="463"/>
      <c r="G36" s="84">
        <f t="shared" si="3"/>
        <v>24</v>
      </c>
      <c r="H36" s="84"/>
      <c r="I36" s="93">
        <f t="shared" si="8"/>
        <v>0</v>
      </c>
      <c r="J36" s="93"/>
      <c r="K36" s="93"/>
      <c r="L36" s="93"/>
      <c r="M36" s="358"/>
      <c r="N36" s="93"/>
    </row>
    <row r="37" spans="1:14" ht="25.5" customHeight="1" thickBot="1" x14ac:dyDescent="0.25">
      <c r="A37" s="978"/>
      <c r="B37" s="1019"/>
      <c r="C37" s="71" t="s">
        <v>40</v>
      </c>
      <c r="D37" s="973" t="s">
        <v>339</v>
      </c>
      <c r="E37" s="974"/>
      <c r="F37" s="463" t="s">
        <v>564</v>
      </c>
      <c r="G37" s="84">
        <f t="shared" si="3"/>
        <v>25</v>
      </c>
      <c r="H37" s="84"/>
      <c r="I37" s="94">
        <f t="shared" si="8"/>
        <v>0</v>
      </c>
      <c r="J37" s="93"/>
      <c r="K37" s="93"/>
      <c r="L37" s="93"/>
      <c r="M37" s="358"/>
      <c r="N37" s="93"/>
    </row>
    <row r="38" spans="1:14" ht="25.5" customHeight="1" thickBot="1" x14ac:dyDescent="0.25">
      <c r="A38" s="978"/>
      <c r="B38" s="1019"/>
      <c r="C38" s="71" t="s">
        <v>42</v>
      </c>
      <c r="D38" s="973" t="s">
        <v>340</v>
      </c>
      <c r="E38" s="974"/>
      <c r="F38" s="463" t="s">
        <v>565</v>
      </c>
      <c r="G38" s="84">
        <f t="shared" si="3"/>
        <v>26</v>
      </c>
      <c r="H38" s="84"/>
      <c r="I38" s="93">
        <f t="shared" si="8"/>
        <v>16.704000000000001</v>
      </c>
      <c r="J38" s="93">
        <f>'[3]VENITURI-total'!P22</f>
        <v>4.1760000000000002</v>
      </c>
      <c r="K38" s="93">
        <f>'[3]VENITURI-total'!P26</f>
        <v>4.1760000000000002</v>
      </c>
      <c r="L38" s="93">
        <f>'[3]VENITURI-total'!P30</f>
        <v>4.1760000000000002</v>
      </c>
      <c r="M38" s="358">
        <f>'[3]VENITURI-total'!P34</f>
        <v>4.1760000000000002</v>
      </c>
      <c r="N38" s="93"/>
    </row>
    <row r="39" spans="1:14" ht="23.25" thickBot="1" x14ac:dyDescent="0.25">
      <c r="A39" s="978"/>
      <c r="B39" s="1020"/>
      <c r="C39" s="71" t="s">
        <v>28</v>
      </c>
      <c r="D39" s="973" t="s">
        <v>341</v>
      </c>
      <c r="E39" s="974"/>
      <c r="F39" s="463" t="s">
        <v>566</v>
      </c>
      <c r="G39" s="84">
        <f t="shared" si="3"/>
        <v>27</v>
      </c>
      <c r="H39" s="84"/>
      <c r="I39" s="93">
        <f t="shared" si="8"/>
        <v>0</v>
      </c>
      <c r="J39" s="93"/>
      <c r="K39" s="93"/>
      <c r="L39" s="93"/>
      <c r="M39" s="358"/>
      <c r="N39" s="93"/>
    </row>
    <row r="40" spans="1:14" ht="12" thickBot="1" x14ac:dyDescent="0.25">
      <c r="A40" s="979"/>
      <c r="B40" s="71" t="s">
        <v>17</v>
      </c>
      <c r="C40" s="71"/>
      <c r="D40" s="973" t="s">
        <v>115</v>
      </c>
      <c r="E40" s="974"/>
      <c r="F40" s="463"/>
      <c r="G40" s="84">
        <f t="shared" si="3"/>
        <v>28</v>
      </c>
      <c r="H40" s="84"/>
      <c r="I40" s="93">
        <f t="shared" si="8"/>
        <v>0</v>
      </c>
      <c r="J40" s="93"/>
      <c r="K40" s="93"/>
      <c r="L40" s="93"/>
      <c r="M40" s="358"/>
      <c r="N40" s="93"/>
    </row>
    <row r="41" spans="1:14" ht="12" thickBot="1" x14ac:dyDescent="0.25">
      <c r="A41" s="87" t="s">
        <v>23</v>
      </c>
      <c r="B41" s="1023" t="s">
        <v>463</v>
      </c>
      <c r="C41" s="1024"/>
      <c r="D41" s="1024"/>
      <c r="E41" s="1025"/>
      <c r="F41" s="292"/>
      <c r="G41" s="284">
        <f t="shared" si="3"/>
        <v>29</v>
      </c>
      <c r="H41" s="284"/>
      <c r="I41" s="88">
        <f t="shared" ref="I41:N41" si="9">I42+I182+I190</f>
        <v>2528911.4491999997</v>
      </c>
      <c r="J41" s="88">
        <f t="shared" si="9"/>
        <v>566864.91195999994</v>
      </c>
      <c r="K41" s="88">
        <f t="shared" si="9"/>
        <v>665394.97824000008</v>
      </c>
      <c r="L41" s="88">
        <f t="shared" si="9"/>
        <v>615601.31823999994</v>
      </c>
      <c r="M41" s="353">
        <f t="shared" si="9"/>
        <v>681050.24075999996</v>
      </c>
      <c r="N41" s="88">
        <f t="shared" si="9"/>
        <v>0</v>
      </c>
    </row>
    <row r="42" spans="1:14" ht="21" customHeight="1" thickBot="1" x14ac:dyDescent="0.25">
      <c r="A42" s="977"/>
      <c r="B42" s="293" t="s">
        <v>4</v>
      </c>
      <c r="C42" s="1026" t="s">
        <v>464</v>
      </c>
      <c r="D42" s="1027"/>
      <c r="E42" s="1028"/>
      <c r="F42" s="464"/>
      <c r="G42" s="97">
        <f t="shared" si="3"/>
        <v>30</v>
      </c>
      <c r="H42" s="97"/>
      <c r="I42" s="98">
        <f t="shared" ref="I42:N42" si="10">I43+I115+I131+I165</f>
        <v>2528911.4491999997</v>
      </c>
      <c r="J42" s="98">
        <f t="shared" si="10"/>
        <v>566864.91195999994</v>
      </c>
      <c r="K42" s="98">
        <f t="shared" si="10"/>
        <v>665394.97824000008</v>
      </c>
      <c r="L42" s="98">
        <f t="shared" si="10"/>
        <v>615601.31823999994</v>
      </c>
      <c r="M42" s="361">
        <f t="shared" si="10"/>
        <v>681050.24075999996</v>
      </c>
      <c r="N42" s="98">
        <f t="shared" si="10"/>
        <v>0</v>
      </c>
    </row>
    <row r="43" spans="1:14" ht="22.5" customHeight="1" thickBot="1" x14ac:dyDescent="0.25">
      <c r="A43" s="978"/>
      <c r="B43" s="1029"/>
      <c r="C43" s="1026" t="s">
        <v>473</v>
      </c>
      <c r="D43" s="1027"/>
      <c r="E43" s="1028"/>
      <c r="F43" s="464"/>
      <c r="G43" s="97">
        <f t="shared" si="3"/>
        <v>31</v>
      </c>
      <c r="H43" s="97"/>
      <c r="I43" s="98">
        <f t="shared" ref="I43:N43" si="11">I44+I65+I75</f>
        <v>1116319.28</v>
      </c>
      <c r="J43" s="98">
        <f t="shared" si="11"/>
        <v>280944.82</v>
      </c>
      <c r="K43" s="98">
        <f t="shared" si="11"/>
        <v>284089.82</v>
      </c>
      <c r="L43" s="98">
        <f t="shared" si="11"/>
        <v>268194.82</v>
      </c>
      <c r="M43" s="361">
        <f t="shared" si="11"/>
        <v>283089.82</v>
      </c>
      <c r="N43" s="98">
        <f t="shared" si="11"/>
        <v>0</v>
      </c>
    </row>
    <row r="44" spans="1:14" ht="12" thickBot="1" x14ac:dyDescent="0.25">
      <c r="A44" s="978"/>
      <c r="B44" s="1030"/>
      <c r="C44" s="294" t="s">
        <v>265</v>
      </c>
      <c r="D44" s="986" t="s">
        <v>342</v>
      </c>
      <c r="E44" s="988"/>
      <c r="F44" s="465"/>
      <c r="G44" s="97">
        <f t="shared" si="3"/>
        <v>32</v>
      </c>
      <c r="H44" s="97"/>
      <c r="I44" s="100">
        <f t="shared" ref="I44:N44" si="12">I45+I46+I57+I58+I64</f>
        <v>912675.28</v>
      </c>
      <c r="J44" s="100">
        <f t="shared" si="12"/>
        <v>235314.82</v>
      </c>
      <c r="K44" s="100">
        <f t="shared" si="12"/>
        <v>230751.82</v>
      </c>
      <c r="L44" s="100">
        <f t="shared" si="12"/>
        <v>215856.82</v>
      </c>
      <c r="M44" s="362">
        <f t="shared" si="12"/>
        <v>230751.82</v>
      </c>
      <c r="N44" s="100">
        <f t="shared" si="12"/>
        <v>0</v>
      </c>
    </row>
    <row r="45" spans="1:14" ht="23.25" thickBot="1" x14ac:dyDescent="0.25">
      <c r="A45" s="978"/>
      <c r="B45" s="1030"/>
      <c r="C45" s="71" t="s">
        <v>27</v>
      </c>
      <c r="D45" s="973" t="s">
        <v>227</v>
      </c>
      <c r="E45" s="974"/>
      <c r="F45" s="463" t="s">
        <v>567</v>
      </c>
      <c r="G45" s="84">
        <f t="shared" si="3"/>
        <v>33</v>
      </c>
      <c r="H45" s="84"/>
      <c r="I45" s="89">
        <f t="shared" ref="I45:I63" si="13">SUM(J45:M45)</f>
        <v>1403.28</v>
      </c>
      <c r="J45" s="89">
        <v>350.82</v>
      </c>
      <c r="K45" s="89">
        <v>350.82</v>
      </c>
      <c r="L45" s="89">
        <v>350.82</v>
      </c>
      <c r="M45" s="89">
        <v>350.82</v>
      </c>
      <c r="N45" s="89"/>
    </row>
    <row r="46" spans="1:14" ht="12" thickBot="1" x14ac:dyDescent="0.25">
      <c r="A46" s="978"/>
      <c r="B46" s="1030"/>
      <c r="C46" s="71" t="s">
        <v>38</v>
      </c>
      <c r="D46" s="973" t="s">
        <v>267</v>
      </c>
      <c r="E46" s="974"/>
      <c r="F46" s="463" t="s">
        <v>568</v>
      </c>
      <c r="G46" s="84">
        <f t="shared" si="3"/>
        <v>34</v>
      </c>
      <c r="H46" s="84"/>
      <c r="I46" s="89">
        <f t="shared" si="13"/>
        <v>256944</v>
      </c>
      <c r="J46" s="89">
        <f>J47+J54</f>
        <v>48882</v>
      </c>
      <c r="K46" s="89">
        <f>K47+K54</f>
        <v>74319</v>
      </c>
      <c r="L46" s="89">
        <f>L47+L54</f>
        <v>59424</v>
      </c>
      <c r="M46" s="89">
        <f>M47+M54</f>
        <v>74319</v>
      </c>
      <c r="N46" s="89"/>
    </row>
    <row r="47" spans="1:14" ht="12" thickBot="1" x14ac:dyDescent="0.25">
      <c r="A47" s="978"/>
      <c r="B47" s="1030"/>
      <c r="C47" s="71"/>
      <c r="D47" s="71" t="s">
        <v>76</v>
      </c>
      <c r="E47" s="71" t="s">
        <v>569</v>
      </c>
      <c r="F47" s="86">
        <v>602</v>
      </c>
      <c r="G47" s="84">
        <f t="shared" si="3"/>
        <v>35</v>
      </c>
      <c r="H47" s="84"/>
      <c r="I47" s="89">
        <f t="shared" si="13"/>
        <v>183836</v>
      </c>
      <c r="J47" s="89">
        <f>SUM(J48:J53)</f>
        <v>32535</v>
      </c>
      <c r="K47" s="89">
        <f>SUM(K48:K53)</f>
        <v>54112</v>
      </c>
      <c r="L47" s="89">
        <f>SUM(L48:L53)</f>
        <v>43077</v>
      </c>
      <c r="M47" s="113">
        <f>SUM(M48:M53)</f>
        <v>54112</v>
      </c>
      <c r="N47" s="89">
        <f>SUM(N48:N53)</f>
        <v>0</v>
      </c>
    </row>
    <row r="48" spans="1:14" ht="12" thickBot="1" x14ac:dyDescent="0.25">
      <c r="A48" s="978"/>
      <c r="B48" s="1030"/>
      <c r="C48" s="295"/>
      <c r="D48" s="295"/>
      <c r="E48" s="71" t="s">
        <v>570</v>
      </c>
      <c r="F48" s="296" t="s">
        <v>571</v>
      </c>
      <c r="G48" s="84"/>
      <c r="H48" s="84"/>
      <c r="I48" s="89">
        <f t="shared" si="13"/>
        <v>126084</v>
      </c>
      <c r="J48" s="89">
        <v>20000</v>
      </c>
      <c r="K48" s="89">
        <v>37771</v>
      </c>
      <c r="L48" s="89">
        <v>30542</v>
      </c>
      <c r="M48" s="89">
        <v>37771</v>
      </c>
      <c r="N48" s="89"/>
    </row>
    <row r="49" spans="1:14" ht="12" thickBot="1" x14ac:dyDescent="0.25">
      <c r="A49" s="978"/>
      <c r="B49" s="1030"/>
      <c r="C49" s="256"/>
      <c r="D49" s="256"/>
      <c r="E49" s="71" t="s">
        <v>572</v>
      </c>
      <c r="F49" s="296">
        <v>6024</v>
      </c>
      <c r="G49" s="84"/>
      <c r="H49" s="84"/>
      <c r="I49" s="89">
        <f t="shared" si="13"/>
        <v>6432</v>
      </c>
      <c r="J49" s="89">
        <v>1608</v>
      </c>
      <c r="K49" s="89">
        <v>1608</v>
      </c>
      <c r="L49" s="89">
        <v>1608</v>
      </c>
      <c r="M49" s="89">
        <v>1608</v>
      </c>
      <c r="N49" s="89"/>
    </row>
    <row r="50" spans="1:14" ht="12" thickBot="1" x14ac:dyDescent="0.25">
      <c r="A50" s="978"/>
      <c r="B50" s="1030"/>
      <c r="C50" s="256"/>
      <c r="D50" s="256"/>
      <c r="E50" s="71" t="s">
        <v>573</v>
      </c>
      <c r="F50" s="296">
        <v>6027</v>
      </c>
      <c r="G50" s="84"/>
      <c r="H50" s="84"/>
      <c r="I50" s="89">
        <f t="shared" si="13"/>
        <v>47612</v>
      </c>
      <c r="J50" s="89">
        <v>10000</v>
      </c>
      <c r="K50" s="89">
        <v>13806</v>
      </c>
      <c r="L50" s="89">
        <v>10000</v>
      </c>
      <c r="M50" s="89">
        <v>13806</v>
      </c>
      <c r="N50" s="89"/>
    </row>
    <row r="51" spans="1:14" ht="12" thickBot="1" x14ac:dyDescent="0.25">
      <c r="A51" s="978"/>
      <c r="B51" s="1030"/>
      <c r="C51" s="256"/>
      <c r="D51" s="256"/>
      <c r="E51" s="71" t="s">
        <v>574</v>
      </c>
      <c r="F51" s="296" t="s">
        <v>575</v>
      </c>
      <c r="G51" s="84"/>
      <c r="H51" s="84"/>
      <c r="I51" s="89">
        <f t="shared" si="13"/>
        <v>3708</v>
      </c>
      <c r="J51" s="89">
        <v>927</v>
      </c>
      <c r="K51" s="89">
        <v>927</v>
      </c>
      <c r="L51" s="89">
        <v>927</v>
      </c>
      <c r="M51" s="89">
        <v>927</v>
      </c>
      <c r="N51" s="89"/>
    </row>
    <row r="52" spans="1:14" ht="12" thickBot="1" x14ac:dyDescent="0.25">
      <c r="A52" s="978"/>
      <c r="B52" s="1030"/>
      <c r="C52" s="256"/>
      <c r="D52" s="256"/>
      <c r="E52" s="256" t="s">
        <v>576</v>
      </c>
      <c r="F52" s="296">
        <v>608</v>
      </c>
      <c r="G52" s="84"/>
      <c r="H52" s="84"/>
      <c r="I52" s="89">
        <f t="shared" si="13"/>
        <v>0</v>
      </c>
      <c r="J52" s="89"/>
      <c r="K52" s="89"/>
      <c r="L52" s="89"/>
      <c r="M52" s="113"/>
      <c r="N52" s="89"/>
    </row>
    <row r="53" spans="1:14" ht="12" thickBot="1" x14ac:dyDescent="0.25">
      <c r="A53" s="978"/>
      <c r="B53" s="1030"/>
      <c r="C53" s="297"/>
      <c r="D53" s="297"/>
      <c r="E53" s="297" t="s">
        <v>577</v>
      </c>
      <c r="F53" s="296">
        <v>609</v>
      </c>
      <c r="G53" s="84"/>
      <c r="H53" s="84"/>
      <c r="I53" s="89">
        <f t="shared" si="13"/>
        <v>0</v>
      </c>
      <c r="J53" s="89"/>
      <c r="K53" s="89"/>
      <c r="L53" s="89"/>
      <c r="M53" s="113"/>
      <c r="N53" s="89"/>
    </row>
    <row r="54" spans="1:14" ht="12" thickBot="1" x14ac:dyDescent="0.25">
      <c r="A54" s="978"/>
      <c r="B54" s="1030"/>
      <c r="C54" s="71"/>
      <c r="D54" s="71" t="s">
        <v>99</v>
      </c>
      <c r="E54" s="71" t="s">
        <v>269</v>
      </c>
      <c r="F54" s="86"/>
      <c r="G54" s="84">
        <f>G47+1</f>
        <v>36</v>
      </c>
      <c r="H54" s="84"/>
      <c r="I54" s="89">
        <f t="shared" si="13"/>
        <v>73108</v>
      </c>
      <c r="J54" s="89">
        <f>SUM(J55:J56)</f>
        <v>16347</v>
      </c>
      <c r="K54" s="89">
        <f>SUM(K55:K56)</f>
        <v>20207</v>
      </c>
      <c r="L54" s="89">
        <f>SUM(L55:L56)</f>
        <v>16347</v>
      </c>
      <c r="M54" s="113">
        <f>SUM(M55:M56)</f>
        <v>20207</v>
      </c>
      <c r="N54" s="89">
        <f>SUM(N55:N56)</f>
        <v>0</v>
      </c>
    </row>
    <row r="55" spans="1:14" ht="12" thickBot="1" x14ac:dyDescent="0.25">
      <c r="A55" s="978"/>
      <c r="B55" s="1030"/>
      <c r="C55" s="469"/>
      <c r="D55" s="470"/>
      <c r="E55" s="71" t="s">
        <v>578</v>
      </c>
      <c r="F55" s="296">
        <v>6022</v>
      </c>
      <c r="G55" s="84"/>
      <c r="H55" s="84"/>
      <c r="I55" s="89">
        <f t="shared" si="13"/>
        <v>5388</v>
      </c>
      <c r="J55" s="89">
        <v>1347</v>
      </c>
      <c r="K55" s="89">
        <v>1347</v>
      </c>
      <c r="L55" s="89">
        <v>1347</v>
      </c>
      <c r="M55" s="89">
        <v>1347</v>
      </c>
      <c r="N55" s="89"/>
    </row>
    <row r="56" spans="1:14" ht="12" thickBot="1" x14ac:dyDescent="0.25">
      <c r="A56" s="978"/>
      <c r="B56" s="1030"/>
      <c r="C56" s="469"/>
      <c r="D56" s="470"/>
      <c r="E56" s="71" t="s">
        <v>579</v>
      </c>
      <c r="F56" s="296">
        <v>604</v>
      </c>
      <c r="G56" s="84"/>
      <c r="H56" s="84"/>
      <c r="I56" s="89">
        <f t="shared" si="13"/>
        <v>67720</v>
      </c>
      <c r="J56" s="89">
        <v>15000</v>
      </c>
      <c r="K56" s="89">
        <v>18860</v>
      </c>
      <c r="L56" s="89">
        <v>15000</v>
      </c>
      <c r="M56" s="89">
        <v>18860</v>
      </c>
      <c r="N56" s="89"/>
    </row>
    <row r="57" spans="1:14" ht="12" thickBot="1" x14ac:dyDescent="0.25">
      <c r="A57" s="978"/>
      <c r="B57" s="1030"/>
      <c r="C57" s="71" t="s">
        <v>40</v>
      </c>
      <c r="D57" s="973" t="s">
        <v>343</v>
      </c>
      <c r="E57" s="974"/>
      <c r="F57" s="463">
        <v>603</v>
      </c>
      <c r="G57" s="84">
        <f>G54+1</f>
        <v>37</v>
      </c>
      <c r="H57" s="84"/>
      <c r="I57" s="89">
        <f t="shared" si="13"/>
        <v>17028</v>
      </c>
      <c r="J57" s="89">
        <v>4257</v>
      </c>
      <c r="K57" s="89">
        <v>4257</v>
      </c>
      <c r="L57" s="89">
        <v>4257</v>
      </c>
      <c r="M57" s="89">
        <v>4257</v>
      </c>
      <c r="N57" s="89"/>
    </row>
    <row r="58" spans="1:14" ht="12" thickBot="1" x14ac:dyDescent="0.25">
      <c r="A58" s="978"/>
      <c r="B58" s="1030"/>
      <c r="C58" s="71" t="s">
        <v>42</v>
      </c>
      <c r="D58" s="973" t="s">
        <v>271</v>
      </c>
      <c r="E58" s="974"/>
      <c r="F58" s="463">
        <v>605</v>
      </c>
      <c r="G58" s="84">
        <f t="shared" si="3"/>
        <v>38</v>
      </c>
      <c r="H58" s="84"/>
      <c r="I58" s="89">
        <f t="shared" si="13"/>
        <v>637300</v>
      </c>
      <c r="J58" s="89">
        <f>SUM(J59:J63)</f>
        <v>181825</v>
      </c>
      <c r="K58" s="89">
        <f>SUM(K59:K63)</f>
        <v>151825</v>
      </c>
      <c r="L58" s="89">
        <f>SUM(L59:L63)</f>
        <v>151825</v>
      </c>
      <c r="M58" s="113">
        <f>SUM(M59:M63)</f>
        <v>151825</v>
      </c>
      <c r="N58" s="89">
        <f>SUM(N59:N63)</f>
        <v>0</v>
      </c>
    </row>
    <row r="59" spans="1:14" ht="12" thickBot="1" x14ac:dyDescent="0.25">
      <c r="A59" s="978"/>
      <c r="B59" s="1030"/>
      <c r="C59" s="295"/>
      <c r="D59" s="295"/>
      <c r="E59" s="256" t="s">
        <v>580</v>
      </c>
      <c r="F59" s="296" t="s">
        <v>581</v>
      </c>
      <c r="G59" s="84"/>
      <c r="H59" s="84"/>
      <c r="I59" s="89">
        <f t="shared" si="13"/>
        <v>98896</v>
      </c>
      <c r="J59" s="89">
        <v>24724</v>
      </c>
      <c r="K59" s="89">
        <v>24724</v>
      </c>
      <c r="L59" s="89">
        <v>24724</v>
      </c>
      <c r="M59" s="89">
        <v>24724</v>
      </c>
      <c r="N59" s="89"/>
    </row>
    <row r="60" spans="1:14" ht="12" thickBot="1" x14ac:dyDescent="0.25">
      <c r="A60" s="978"/>
      <c r="B60" s="1030"/>
      <c r="C60" s="256"/>
      <c r="D60" s="256"/>
      <c r="E60" s="256" t="s">
        <v>582</v>
      </c>
      <c r="F60" s="296" t="s">
        <v>583</v>
      </c>
      <c r="G60" s="84"/>
      <c r="H60" s="84"/>
      <c r="I60" s="89">
        <f t="shared" si="13"/>
        <v>230000</v>
      </c>
      <c r="J60" s="89">
        <v>80000</v>
      </c>
      <c r="K60" s="89">
        <v>50000</v>
      </c>
      <c r="L60" s="89">
        <v>50000</v>
      </c>
      <c r="M60" s="89">
        <v>50000</v>
      </c>
      <c r="N60" s="89"/>
    </row>
    <row r="61" spans="1:14" ht="12" thickBot="1" x14ac:dyDescent="0.25">
      <c r="A61" s="978"/>
      <c r="B61" s="1030"/>
      <c r="C61" s="256"/>
      <c r="D61" s="256"/>
      <c r="E61" s="295" t="s">
        <v>584</v>
      </c>
      <c r="F61" s="296" t="s">
        <v>585</v>
      </c>
      <c r="G61" s="84"/>
      <c r="H61" s="84"/>
      <c r="I61" s="89">
        <f t="shared" si="13"/>
        <v>301788</v>
      </c>
      <c r="J61" s="89">
        <v>75447</v>
      </c>
      <c r="K61" s="89">
        <v>75447</v>
      </c>
      <c r="L61" s="89">
        <v>75447</v>
      </c>
      <c r="M61" s="89">
        <v>75447</v>
      </c>
      <c r="N61" s="89"/>
    </row>
    <row r="62" spans="1:14" ht="12" thickBot="1" x14ac:dyDescent="0.25">
      <c r="A62" s="978"/>
      <c r="B62" s="1030"/>
      <c r="C62" s="256"/>
      <c r="D62" s="256"/>
      <c r="E62" s="256" t="s">
        <v>586</v>
      </c>
      <c r="F62" s="296" t="s">
        <v>587</v>
      </c>
      <c r="G62" s="84"/>
      <c r="H62" s="84"/>
      <c r="I62" s="89">
        <f t="shared" si="13"/>
        <v>6616</v>
      </c>
      <c r="J62" s="89">
        <v>1654</v>
      </c>
      <c r="K62" s="89">
        <v>1654</v>
      </c>
      <c r="L62" s="89">
        <v>1654</v>
      </c>
      <c r="M62" s="89">
        <v>1654</v>
      </c>
      <c r="N62" s="89"/>
    </row>
    <row r="63" spans="1:14" ht="12" thickBot="1" x14ac:dyDescent="0.25">
      <c r="A63" s="978"/>
      <c r="B63" s="1030"/>
      <c r="C63" s="297"/>
      <c r="D63" s="297"/>
      <c r="E63" s="297" t="s">
        <v>588</v>
      </c>
      <c r="F63" s="296" t="s">
        <v>589</v>
      </c>
      <c r="G63" s="84"/>
      <c r="H63" s="84"/>
      <c r="I63" s="89">
        <f t="shared" si="13"/>
        <v>0</v>
      </c>
      <c r="J63" s="89"/>
      <c r="K63" s="89"/>
      <c r="L63" s="89"/>
      <c r="M63" s="113"/>
      <c r="N63" s="89"/>
    </row>
    <row r="64" spans="1:14" ht="12" thickBot="1" x14ac:dyDescent="0.25">
      <c r="A64" s="978"/>
      <c r="B64" s="1030"/>
      <c r="C64" s="71" t="s">
        <v>28</v>
      </c>
      <c r="D64" s="973" t="s">
        <v>272</v>
      </c>
      <c r="E64" s="974"/>
      <c r="F64" s="463"/>
      <c r="G64" s="84">
        <f>G58+1</f>
        <v>39</v>
      </c>
      <c r="H64" s="84"/>
      <c r="I64" s="89">
        <v>0</v>
      </c>
      <c r="J64" s="89">
        <v>0</v>
      </c>
      <c r="K64" s="89">
        <v>0</v>
      </c>
      <c r="L64" s="89">
        <v>0</v>
      </c>
      <c r="M64" s="113">
        <v>0</v>
      </c>
      <c r="N64" s="89"/>
    </row>
    <row r="65" spans="1:14" ht="23.25" customHeight="1" thickBot="1" x14ac:dyDescent="0.25">
      <c r="A65" s="978"/>
      <c r="B65" s="1030"/>
      <c r="C65" s="294" t="s">
        <v>273</v>
      </c>
      <c r="D65" s="986" t="s">
        <v>465</v>
      </c>
      <c r="E65" s="988"/>
      <c r="F65" s="465"/>
      <c r="G65" s="97">
        <f t="shared" si="3"/>
        <v>40</v>
      </c>
      <c r="H65" s="97"/>
      <c r="I65" s="100">
        <f t="shared" ref="I65" si="14">SUM(J65:M65)</f>
        <v>27584</v>
      </c>
      <c r="J65" s="100">
        <f t="shared" ref="J65:N65" si="15">J66+J70+J74</f>
        <v>5440</v>
      </c>
      <c r="K65" s="100">
        <f t="shared" si="15"/>
        <v>8048</v>
      </c>
      <c r="L65" s="100">
        <f t="shared" si="15"/>
        <v>7048</v>
      </c>
      <c r="M65" s="100">
        <f t="shared" si="15"/>
        <v>7048</v>
      </c>
      <c r="N65" s="100">
        <f t="shared" si="15"/>
        <v>0</v>
      </c>
    </row>
    <row r="66" spans="1:14" ht="12" thickBot="1" x14ac:dyDescent="0.25">
      <c r="A66" s="978"/>
      <c r="B66" s="1030"/>
      <c r="C66" s="71" t="s">
        <v>27</v>
      </c>
      <c r="D66" s="973" t="s">
        <v>274</v>
      </c>
      <c r="E66" s="974"/>
      <c r="F66" s="463">
        <v>611</v>
      </c>
      <c r="G66" s="84">
        <f t="shared" si="3"/>
        <v>41</v>
      </c>
      <c r="H66" s="84"/>
      <c r="I66" s="89">
        <f t="shared" ref="I66:I74" si="16">SUM(J66:M66)</f>
        <v>25824</v>
      </c>
      <c r="J66" s="89">
        <f>SUM(J67:J69)</f>
        <v>5000</v>
      </c>
      <c r="K66" s="89">
        <f>SUM(K67:K69)</f>
        <v>7608</v>
      </c>
      <c r="L66" s="89">
        <f>SUM(L67:L69)</f>
        <v>6608</v>
      </c>
      <c r="M66" s="113">
        <f>SUM(M67:M69)</f>
        <v>6608</v>
      </c>
      <c r="N66" s="89">
        <f>SUM(N67:N69)</f>
        <v>0</v>
      </c>
    </row>
    <row r="67" spans="1:14" ht="12" thickBot="1" x14ac:dyDescent="0.25">
      <c r="A67" s="978"/>
      <c r="B67" s="1030"/>
      <c r="C67" s="71"/>
      <c r="D67" s="460"/>
      <c r="E67" s="461" t="s">
        <v>590</v>
      </c>
      <c r="F67" s="296" t="s">
        <v>591</v>
      </c>
      <c r="G67" s="84"/>
      <c r="H67" s="84"/>
      <c r="I67" s="89">
        <f t="shared" si="16"/>
        <v>25824</v>
      </c>
      <c r="J67" s="89">
        <v>5000</v>
      </c>
      <c r="K67" s="89">
        <v>7608</v>
      </c>
      <c r="L67" s="89">
        <v>6608</v>
      </c>
      <c r="M67" s="89">
        <v>6608</v>
      </c>
      <c r="N67" s="89"/>
    </row>
    <row r="68" spans="1:14" ht="12" thickBot="1" x14ac:dyDescent="0.25">
      <c r="A68" s="978"/>
      <c r="B68" s="1030"/>
      <c r="C68" s="71"/>
      <c r="D68" s="460"/>
      <c r="E68" s="461" t="s">
        <v>592</v>
      </c>
      <c r="F68" s="296">
        <v>611.01</v>
      </c>
      <c r="G68" s="84"/>
      <c r="H68" s="84"/>
      <c r="I68" s="89">
        <f t="shared" si="16"/>
        <v>0</v>
      </c>
      <c r="J68" s="89"/>
      <c r="K68" s="89"/>
      <c r="L68" s="89"/>
      <c r="M68" s="113"/>
      <c r="N68" s="89"/>
    </row>
    <row r="69" spans="1:14" ht="12" thickBot="1" x14ac:dyDescent="0.25">
      <c r="A69" s="978"/>
      <c r="B69" s="1030"/>
      <c r="C69" s="71"/>
      <c r="D69" s="460"/>
      <c r="E69" s="461" t="s">
        <v>593</v>
      </c>
      <c r="F69" s="296" t="s">
        <v>594</v>
      </c>
      <c r="G69" s="84"/>
      <c r="H69" s="84"/>
      <c r="I69" s="89">
        <f t="shared" si="16"/>
        <v>0</v>
      </c>
      <c r="J69" s="89"/>
      <c r="K69" s="89"/>
      <c r="L69" s="89"/>
      <c r="M69" s="113"/>
      <c r="N69" s="89"/>
    </row>
    <row r="70" spans="1:14" ht="12" thickBot="1" x14ac:dyDescent="0.25">
      <c r="A70" s="979"/>
      <c r="B70" s="1031"/>
      <c r="C70" s="71" t="s">
        <v>38</v>
      </c>
      <c r="D70" s="973" t="s">
        <v>275</v>
      </c>
      <c r="E70" s="974"/>
      <c r="F70" s="463">
        <v>612</v>
      </c>
      <c r="G70" s="84">
        <f>G66+1</f>
        <v>42</v>
      </c>
      <c r="H70" s="84"/>
      <c r="I70" s="89">
        <f t="shared" si="16"/>
        <v>680</v>
      </c>
      <c r="J70" s="89">
        <f>J71+J73</f>
        <v>170</v>
      </c>
      <c r="K70" s="89">
        <f>K71+K73</f>
        <v>170</v>
      </c>
      <c r="L70" s="89">
        <f>L71+L73</f>
        <v>170</v>
      </c>
      <c r="M70" s="113">
        <f>M71+M73</f>
        <v>170</v>
      </c>
      <c r="N70" s="89">
        <f>N71+N73</f>
        <v>0</v>
      </c>
    </row>
    <row r="71" spans="1:14" ht="12" thickBot="1" x14ac:dyDescent="0.25">
      <c r="A71" s="977"/>
      <c r="B71" s="1018"/>
      <c r="C71" s="71"/>
      <c r="D71" s="71" t="s">
        <v>76</v>
      </c>
      <c r="E71" s="71" t="s">
        <v>656</v>
      </c>
      <c r="F71" s="86"/>
      <c r="G71" s="84">
        <f t="shared" si="3"/>
        <v>43</v>
      </c>
      <c r="H71" s="84"/>
      <c r="I71" s="89">
        <f t="shared" si="16"/>
        <v>0</v>
      </c>
      <c r="J71" s="89"/>
      <c r="K71" s="89"/>
      <c r="L71" s="89"/>
      <c r="M71" s="113"/>
      <c r="N71" s="89"/>
    </row>
    <row r="72" spans="1:14" ht="12" thickBot="1" x14ac:dyDescent="0.25">
      <c r="A72" s="978"/>
      <c r="B72" s="1019"/>
      <c r="C72" s="71"/>
      <c r="D72" s="71"/>
      <c r="E72" s="86" t="s">
        <v>595</v>
      </c>
      <c r="F72" s="286" t="s">
        <v>596</v>
      </c>
      <c r="G72" s="84"/>
      <c r="H72" s="84"/>
      <c r="I72" s="89">
        <f t="shared" si="16"/>
        <v>0</v>
      </c>
      <c r="J72" s="89"/>
      <c r="K72" s="89"/>
      <c r="L72" s="89"/>
      <c r="M72" s="113"/>
      <c r="N72" s="89"/>
    </row>
    <row r="73" spans="1:14" ht="12" thickBot="1" x14ac:dyDescent="0.25">
      <c r="A73" s="978"/>
      <c r="B73" s="1019"/>
      <c r="C73" s="71"/>
      <c r="D73" s="71" t="s">
        <v>99</v>
      </c>
      <c r="E73" s="71" t="s">
        <v>158</v>
      </c>
      <c r="F73" s="86">
        <v>612</v>
      </c>
      <c r="G73" s="84">
        <f>G71+1</f>
        <v>44</v>
      </c>
      <c r="H73" s="84"/>
      <c r="I73" s="89">
        <f t="shared" si="16"/>
        <v>680</v>
      </c>
      <c r="J73" s="89">
        <v>170</v>
      </c>
      <c r="K73" s="89">
        <v>170</v>
      </c>
      <c r="L73" s="89">
        <v>170</v>
      </c>
      <c r="M73" s="89">
        <v>170</v>
      </c>
      <c r="N73" s="89"/>
    </row>
    <row r="74" spans="1:14" ht="12" thickBot="1" x14ac:dyDescent="0.25">
      <c r="A74" s="978"/>
      <c r="B74" s="1019"/>
      <c r="C74" s="71" t="s">
        <v>40</v>
      </c>
      <c r="D74" s="973" t="s">
        <v>159</v>
      </c>
      <c r="E74" s="974"/>
      <c r="F74" s="301" t="s">
        <v>597</v>
      </c>
      <c r="G74" s="84">
        <f t="shared" si="3"/>
        <v>45</v>
      </c>
      <c r="H74" s="84"/>
      <c r="I74" s="89">
        <f t="shared" si="16"/>
        <v>1080</v>
      </c>
      <c r="J74" s="89">
        <v>270</v>
      </c>
      <c r="K74" s="89">
        <v>270</v>
      </c>
      <c r="L74" s="89">
        <v>270</v>
      </c>
      <c r="M74" s="89">
        <v>270</v>
      </c>
      <c r="N74" s="89"/>
    </row>
    <row r="75" spans="1:14" ht="23.25" customHeight="1" thickBot="1" x14ac:dyDescent="0.25">
      <c r="A75" s="978"/>
      <c r="B75" s="1019"/>
      <c r="C75" s="294" t="s">
        <v>160</v>
      </c>
      <c r="D75" s="986" t="s">
        <v>466</v>
      </c>
      <c r="E75" s="988"/>
      <c r="F75" s="465"/>
      <c r="G75" s="97">
        <f t="shared" si="3"/>
        <v>46</v>
      </c>
      <c r="H75" s="97"/>
      <c r="I75" s="100">
        <f t="shared" ref="I75:N75" si="17">I76+I77+I79+I86+I91+I95+I99+I100+I101+I110</f>
        <v>176060</v>
      </c>
      <c r="J75" s="100">
        <f t="shared" si="17"/>
        <v>40190</v>
      </c>
      <c r="K75" s="100">
        <f t="shared" si="17"/>
        <v>45290</v>
      </c>
      <c r="L75" s="100">
        <f t="shared" si="17"/>
        <v>45290</v>
      </c>
      <c r="M75" s="362">
        <f t="shared" si="17"/>
        <v>45290</v>
      </c>
      <c r="N75" s="100">
        <f t="shared" si="17"/>
        <v>0</v>
      </c>
    </row>
    <row r="76" spans="1:14" ht="12" thickBot="1" x14ac:dyDescent="0.25">
      <c r="A76" s="978"/>
      <c r="B76" s="1019"/>
      <c r="C76" s="71" t="s">
        <v>27</v>
      </c>
      <c r="D76" s="1021" t="s">
        <v>161</v>
      </c>
      <c r="E76" s="1022"/>
      <c r="F76" s="302">
        <v>621</v>
      </c>
      <c r="G76" s="84">
        <f t="shared" si="3"/>
        <v>47</v>
      </c>
      <c r="H76" s="84"/>
      <c r="I76" s="242">
        <f>SUM(J76:M76)</f>
        <v>0</v>
      </c>
      <c r="J76" s="101"/>
      <c r="K76" s="101"/>
      <c r="L76" s="101"/>
      <c r="M76" s="363"/>
      <c r="N76" s="101"/>
    </row>
    <row r="77" spans="1:14" ht="12" thickBot="1" x14ac:dyDescent="0.25">
      <c r="A77" s="978"/>
      <c r="B77" s="1019"/>
      <c r="C77" s="71" t="s">
        <v>38</v>
      </c>
      <c r="D77" s="1021" t="s">
        <v>162</v>
      </c>
      <c r="E77" s="1022"/>
      <c r="F77" s="302">
        <v>622</v>
      </c>
      <c r="G77" s="84">
        <f t="shared" ref="G77:G140" si="18">G76+1</f>
        <v>48</v>
      </c>
      <c r="H77" s="84"/>
      <c r="I77" s="242">
        <f>SUM(J77:M77)</f>
        <v>0</v>
      </c>
      <c r="J77" s="101"/>
      <c r="K77" s="101"/>
      <c r="L77" s="101"/>
      <c r="M77" s="363"/>
      <c r="N77" s="101"/>
    </row>
    <row r="78" spans="1:14" ht="12" thickBot="1" x14ac:dyDescent="0.25">
      <c r="A78" s="978"/>
      <c r="B78" s="1019"/>
      <c r="C78" s="71"/>
      <c r="D78" s="1021" t="s">
        <v>381</v>
      </c>
      <c r="E78" s="1022"/>
      <c r="F78" s="302"/>
      <c r="G78" s="84">
        <f t="shared" si="18"/>
        <v>49</v>
      </c>
      <c r="H78" s="84"/>
      <c r="I78" s="242">
        <f>SUM(J78:M78)</f>
        <v>0</v>
      </c>
      <c r="J78" s="101"/>
      <c r="K78" s="101"/>
      <c r="L78" s="101"/>
      <c r="M78" s="363"/>
      <c r="N78" s="101"/>
    </row>
    <row r="79" spans="1:14" ht="12" thickBot="1" x14ac:dyDescent="0.25">
      <c r="A79" s="978"/>
      <c r="B79" s="1019"/>
      <c r="C79" s="71" t="s">
        <v>40</v>
      </c>
      <c r="D79" s="973" t="s">
        <v>432</v>
      </c>
      <c r="E79" s="974"/>
      <c r="F79" s="463"/>
      <c r="G79" s="84">
        <f t="shared" si="18"/>
        <v>50</v>
      </c>
      <c r="H79" s="84"/>
      <c r="I79" s="242">
        <f t="shared" ref="I79:N79" si="19">I80+I82</f>
        <v>0</v>
      </c>
      <c r="J79" s="89">
        <f t="shared" si="19"/>
        <v>0</v>
      </c>
      <c r="K79" s="89">
        <f t="shared" si="19"/>
        <v>0</v>
      </c>
      <c r="L79" s="89">
        <f t="shared" si="19"/>
        <v>0</v>
      </c>
      <c r="M79" s="113">
        <f t="shared" si="19"/>
        <v>0</v>
      </c>
      <c r="N79" s="89">
        <f t="shared" si="19"/>
        <v>0</v>
      </c>
    </row>
    <row r="80" spans="1:14" ht="23.25" thickBot="1" x14ac:dyDescent="0.25">
      <c r="A80" s="978"/>
      <c r="B80" s="1019"/>
      <c r="C80" s="71"/>
      <c r="D80" s="71" t="s">
        <v>278</v>
      </c>
      <c r="E80" s="71" t="s">
        <v>163</v>
      </c>
      <c r="F80" s="86" t="s">
        <v>598</v>
      </c>
      <c r="G80" s="84">
        <f t="shared" si="18"/>
        <v>51</v>
      </c>
      <c r="H80" s="84"/>
      <c r="I80" s="242">
        <f>SUM(J80:M80)</f>
        <v>0</v>
      </c>
      <c r="J80" s="89"/>
      <c r="K80" s="89"/>
      <c r="L80" s="89"/>
      <c r="M80" s="113"/>
      <c r="N80" s="89"/>
    </row>
    <row r="81" spans="1:14" ht="12" thickBot="1" x14ac:dyDescent="0.25">
      <c r="A81" s="978"/>
      <c r="B81" s="1019"/>
      <c r="C81" s="71"/>
      <c r="D81" s="71"/>
      <c r="E81" s="71" t="s">
        <v>164</v>
      </c>
      <c r="F81" s="86"/>
      <c r="G81" s="84">
        <f t="shared" si="18"/>
        <v>52</v>
      </c>
      <c r="H81" s="84"/>
      <c r="I81" s="89">
        <f>SUM(J81:M81)</f>
        <v>0</v>
      </c>
      <c r="J81" s="89"/>
      <c r="K81" s="89"/>
      <c r="L81" s="89"/>
      <c r="M81" s="113"/>
      <c r="N81" s="89"/>
    </row>
    <row r="82" spans="1:14" ht="12" thickBot="1" x14ac:dyDescent="0.25">
      <c r="A82" s="978"/>
      <c r="B82" s="1019"/>
      <c r="C82" s="71"/>
      <c r="D82" s="71" t="s">
        <v>165</v>
      </c>
      <c r="E82" s="71" t="s">
        <v>166</v>
      </c>
      <c r="F82" s="86" t="s">
        <v>599</v>
      </c>
      <c r="G82" s="84">
        <f t="shared" si="18"/>
        <v>53</v>
      </c>
      <c r="H82" s="84"/>
      <c r="I82" s="89">
        <f>SUM(J82:M82)</f>
        <v>0</v>
      </c>
      <c r="J82" s="89"/>
      <c r="K82" s="89"/>
      <c r="L82" s="89"/>
      <c r="M82" s="113"/>
      <c r="N82" s="89"/>
    </row>
    <row r="83" spans="1:14" ht="23.25" thickBot="1" x14ac:dyDescent="0.25">
      <c r="A83" s="978"/>
      <c r="B83" s="1019"/>
      <c r="C83" s="71"/>
      <c r="D83" s="71"/>
      <c r="E83" s="71" t="s">
        <v>167</v>
      </c>
      <c r="F83" s="86" t="s">
        <v>22</v>
      </c>
      <c r="G83" s="84">
        <f t="shared" si="18"/>
        <v>54</v>
      </c>
      <c r="H83" s="84"/>
      <c r="I83" s="89">
        <f>SUM(J83:M83)</f>
        <v>0</v>
      </c>
      <c r="J83" s="89"/>
      <c r="K83" s="89"/>
      <c r="L83" s="89"/>
      <c r="M83" s="113"/>
      <c r="N83" s="89"/>
    </row>
    <row r="84" spans="1:14" ht="34.5" thickBot="1" x14ac:dyDescent="0.25">
      <c r="A84" s="978"/>
      <c r="B84" s="1019"/>
      <c r="C84" s="71"/>
      <c r="D84" s="71"/>
      <c r="E84" s="71" t="s">
        <v>168</v>
      </c>
      <c r="F84" s="86" t="s">
        <v>22</v>
      </c>
      <c r="G84" s="84">
        <f t="shared" si="18"/>
        <v>55</v>
      </c>
      <c r="H84" s="84"/>
      <c r="I84" s="89">
        <f>SUM(J84:M84)</f>
        <v>0</v>
      </c>
      <c r="J84" s="89"/>
      <c r="K84" s="89"/>
      <c r="L84" s="89"/>
      <c r="M84" s="113"/>
      <c r="N84" s="89"/>
    </row>
    <row r="85" spans="1:14" ht="12" thickBot="1" x14ac:dyDescent="0.25">
      <c r="A85" s="978"/>
      <c r="B85" s="1019"/>
      <c r="C85" s="71"/>
      <c r="D85" s="71"/>
      <c r="E85" s="71" t="s">
        <v>169</v>
      </c>
      <c r="F85" s="86" t="s">
        <v>22</v>
      </c>
      <c r="G85" s="84">
        <f t="shared" si="18"/>
        <v>56</v>
      </c>
      <c r="H85" s="84"/>
      <c r="I85" s="242"/>
      <c r="J85" s="89"/>
      <c r="K85" s="89"/>
      <c r="L85" s="89"/>
      <c r="M85" s="113"/>
      <c r="N85" s="89"/>
    </row>
    <row r="86" spans="1:14" ht="12" thickBot="1" x14ac:dyDescent="0.25">
      <c r="A86" s="978"/>
      <c r="B86" s="1019"/>
      <c r="C86" s="71" t="s">
        <v>42</v>
      </c>
      <c r="D86" s="973" t="s">
        <v>433</v>
      </c>
      <c r="E86" s="974"/>
      <c r="F86" s="463">
        <v>6582</v>
      </c>
      <c r="G86" s="84">
        <f t="shared" si="18"/>
        <v>57</v>
      </c>
      <c r="H86" s="84"/>
      <c r="I86" s="242">
        <f t="shared" ref="I86:I95" si="20">SUM(J86:M86)</f>
        <v>0</v>
      </c>
      <c r="J86" s="89">
        <f>J87+J88+J89+J90</f>
        <v>0</v>
      </c>
      <c r="K86" s="89">
        <f>K87+K88+K89+K90</f>
        <v>0</v>
      </c>
      <c r="L86" s="89">
        <f>L87+L88+L89+L90</f>
        <v>0</v>
      </c>
      <c r="M86" s="113">
        <f>M87+M88+M89+M90</f>
        <v>0</v>
      </c>
      <c r="N86" s="89">
        <f>N87+N88+N89+N90</f>
        <v>0</v>
      </c>
    </row>
    <row r="87" spans="1:14" ht="12" thickBot="1" x14ac:dyDescent="0.25">
      <c r="A87" s="978"/>
      <c r="B87" s="1019"/>
      <c r="C87" s="71"/>
      <c r="D87" s="102" t="s">
        <v>170</v>
      </c>
      <c r="E87" s="102" t="s">
        <v>236</v>
      </c>
      <c r="F87" s="290" t="s">
        <v>600</v>
      </c>
      <c r="G87" s="84">
        <f t="shared" si="18"/>
        <v>58</v>
      </c>
      <c r="H87" s="84"/>
      <c r="I87" s="242">
        <f t="shared" si="20"/>
        <v>0</v>
      </c>
      <c r="J87" s="101"/>
      <c r="K87" s="101"/>
      <c r="L87" s="101"/>
      <c r="M87" s="363"/>
      <c r="N87" s="101"/>
    </row>
    <row r="88" spans="1:14" ht="12" thickBot="1" x14ac:dyDescent="0.25">
      <c r="A88" s="978"/>
      <c r="B88" s="1019"/>
      <c r="C88" s="71"/>
      <c r="D88" s="102" t="s">
        <v>171</v>
      </c>
      <c r="E88" s="102" t="s">
        <v>382</v>
      </c>
      <c r="F88" s="290" t="s">
        <v>601</v>
      </c>
      <c r="G88" s="84">
        <f t="shared" si="18"/>
        <v>59</v>
      </c>
      <c r="H88" s="84"/>
      <c r="I88" s="242">
        <f t="shared" si="20"/>
        <v>0</v>
      </c>
      <c r="J88" s="101"/>
      <c r="K88" s="101"/>
      <c r="L88" s="101"/>
      <c r="M88" s="363"/>
      <c r="N88" s="101"/>
    </row>
    <row r="89" spans="1:14" ht="12" thickBot="1" x14ac:dyDescent="0.25">
      <c r="A89" s="978"/>
      <c r="B89" s="1019"/>
      <c r="C89" s="71"/>
      <c r="D89" s="102" t="s">
        <v>172</v>
      </c>
      <c r="E89" s="102" t="s">
        <v>383</v>
      </c>
      <c r="F89" s="290" t="s">
        <v>602</v>
      </c>
      <c r="G89" s="84">
        <f t="shared" si="18"/>
        <v>60</v>
      </c>
      <c r="H89" s="84"/>
      <c r="I89" s="242">
        <f t="shared" si="20"/>
        <v>0</v>
      </c>
      <c r="J89" s="101"/>
      <c r="K89" s="101"/>
      <c r="L89" s="101"/>
      <c r="M89" s="363"/>
      <c r="N89" s="101"/>
    </row>
    <row r="90" spans="1:14" ht="12" thickBot="1" x14ac:dyDescent="0.25">
      <c r="A90" s="978"/>
      <c r="B90" s="1019"/>
      <c r="C90" s="71"/>
      <c r="D90" s="102" t="s">
        <v>173</v>
      </c>
      <c r="E90" s="102" t="s">
        <v>384</v>
      </c>
      <c r="F90" s="290" t="s">
        <v>603</v>
      </c>
      <c r="G90" s="84">
        <f t="shared" si="18"/>
        <v>61</v>
      </c>
      <c r="H90" s="84"/>
      <c r="I90" s="242">
        <f t="shared" si="20"/>
        <v>0</v>
      </c>
      <c r="J90" s="101"/>
      <c r="K90" s="101"/>
      <c r="L90" s="101"/>
      <c r="M90" s="363"/>
      <c r="N90" s="101"/>
    </row>
    <row r="91" spans="1:14" ht="12" thickBot="1" x14ac:dyDescent="0.25">
      <c r="A91" s="978"/>
      <c r="B91" s="1019"/>
      <c r="C91" s="71" t="s">
        <v>28</v>
      </c>
      <c r="D91" s="973" t="s">
        <v>174</v>
      </c>
      <c r="E91" s="974"/>
      <c r="F91" s="463">
        <v>624</v>
      </c>
      <c r="G91" s="84">
        <f t="shared" si="18"/>
        <v>62</v>
      </c>
      <c r="H91" s="84"/>
      <c r="I91" s="242">
        <f t="shared" si="20"/>
        <v>0</v>
      </c>
      <c r="J91" s="101">
        <f>SUM(J92:J94)</f>
        <v>0</v>
      </c>
      <c r="K91" s="101">
        <f>SUM(K92:K94)</f>
        <v>0</v>
      </c>
      <c r="L91" s="101">
        <f>SUM(L92:L94)</f>
        <v>0</v>
      </c>
      <c r="M91" s="363">
        <f>SUM(M92:M94)</f>
        <v>0</v>
      </c>
      <c r="N91" s="101">
        <f>SUM(N92:N94)</f>
        <v>0</v>
      </c>
    </row>
    <row r="92" spans="1:14" ht="12" thickBot="1" x14ac:dyDescent="0.25">
      <c r="A92" s="978"/>
      <c r="B92" s="1019"/>
      <c r="C92" s="71"/>
      <c r="D92" s="973" t="s">
        <v>604</v>
      </c>
      <c r="E92" s="974"/>
      <c r="F92" s="303" t="s">
        <v>605</v>
      </c>
      <c r="G92" s="84"/>
      <c r="H92" s="84"/>
      <c r="I92" s="242"/>
      <c r="J92" s="101"/>
      <c r="K92" s="101"/>
      <c r="L92" s="101"/>
      <c r="M92" s="363"/>
      <c r="N92" s="101"/>
    </row>
    <row r="93" spans="1:14" ht="12" thickBot="1" x14ac:dyDescent="0.25">
      <c r="A93" s="978"/>
      <c r="B93" s="1019"/>
      <c r="C93" s="71"/>
      <c r="D93" s="973" t="s">
        <v>606</v>
      </c>
      <c r="E93" s="974"/>
      <c r="F93" s="303" t="s">
        <v>607</v>
      </c>
      <c r="G93" s="84"/>
      <c r="H93" s="84"/>
      <c r="I93" s="242"/>
      <c r="J93" s="101"/>
      <c r="K93" s="101"/>
      <c r="L93" s="101"/>
      <c r="M93" s="363"/>
      <c r="N93" s="101"/>
    </row>
    <row r="94" spans="1:14" ht="12" thickBot="1" x14ac:dyDescent="0.25">
      <c r="A94" s="978"/>
      <c r="B94" s="1019"/>
      <c r="C94" s="71"/>
      <c r="D94" s="973" t="s">
        <v>608</v>
      </c>
      <c r="E94" s="974"/>
      <c r="F94" s="303">
        <v>624</v>
      </c>
      <c r="G94" s="84"/>
      <c r="H94" s="84"/>
      <c r="I94" s="242"/>
      <c r="J94" s="101"/>
      <c r="K94" s="101"/>
      <c r="L94" s="101"/>
      <c r="M94" s="363"/>
      <c r="N94" s="101"/>
    </row>
    <row r="95" spans="1:14" ht="12" thickBot="1" x14ac:dyDescent="0.25">
      <c r="A95" s="978"/>
      <c r="B95" s="1019"/>
      <c r="C95" s="71" t="s">
        <v>34</v>
      </c>
      <c r="D95" s="973" t="s">
        <v>175</v>
      </c>
      <c r="E95" s="974"/>
      <c r="F95" s="463">
        <v>625</v>
      </c>
      <c r="G95" s="84">
        <f>G91+1</f>
        <v>63</v>
      </c>
      <c r="H95" s="84"/>
      <c r="I95" s="242">
        <f t="shared" si="20"/>
        <v>0</v>
      </c>
      <c r="J95" s="89"/>
      <c r="K95" s="89"/>
      <c r="L95" s="89"/>
      <c r="M95" s="113"/>
      <c r="N95" s="89"/>
    </row>
    <row r="96" spans="1:14" ht="12" thickBot="1" x14ac:dyDescent="0.25">
      <c r="A96" s="978"/>
      <c r="B96" s="1019"/>
      <c r="C96" s="71"/>
      <c r="D96" s="973" t="s">
        <v>467</v>
      </c>
      <c r="E96" s="974"/>
      <c r="F96" s="463">
        <v>625</v>
      </c>
      <c r="G96" s="84">
        <f t="shared" si="18"/>
        <v>64</v>
      </c>
      <c r="H96" s="84"/>
      <c r="I96" s="242">
        <f t="shared" ref="I96:N96" si="21">I97+I98</f>
        <v>0</v>
      </c>
      <c r="J96" s="89">
        <f t="shared" si="21"/>
        <v>0</v>
      </c>
      <c r="K96" s="89">
        <f t="shared" si="21"/>
        <v>0</v>
      </c>
      <c r="L96" s="89">
        <f t="shared" si="21"/>
        <v>0</v>
      </c>
      <c r="M96" s="113">
        <f t="shared" si="21"/>
        <v>0</v>
      </c>
      <c r="N96" s="89">
        <f t="shared" si="21"/>
        <v>0</v>
      </c>
    </row>
    <row r="97" spans="1:14" ht="12" thickBot="1" x14ac:dyDescent="0.25">
      <c r="A97" s="978"/>
      <c r="B97" s="1019"/>
      <c r="C97" s="71"/>
      <c r="D97" s="1021" t="s">
        <v>385</v>
      </c>
      <c r="E97" s="1022"/>
      <c r="F97" s="302" t="s">
        <v>609</v>
      </c>
      <c r="G97" s="84">
        <f t="shared" si="18"/>
        <v>65</v>
      </c>
      <c r="H97" s="84"/>
      <c r="I97" s="101">
        <f t="shared" ref="I97:I110" si="22">SUM(J97:M97)</f>
        <v>0</v>
      </c>
      <c r="J97" s="101"/>
      <c r="K97" s="101"/>
      <c r="L97" s="101"/>
      <c r="M97" s="363"/>
      <c r="N97" s="101"/>
    </row>
    <row r="98" spans="1:14" ht="12" thickBot="1" x14ac:dyDescent="0.25">
      <c r="A98" s="978"/>
      <c r="B98" s="1019"/>
      <c r="C98" s="71"/>
      <c r="D98" s="1021" t="s">
        <v>386</v>
      </c>
      <c r="E98" s="1022"/>
      <c r="F98" s="302" t="s">
        <v>610</v>
      </c>
      <c r="G98" s="84">
        <f t="shared" si="18"/>
        <v>66</v>
      </c>
      <c r="H98" s="84"/>
      <c r="I98" s="242">
        <f t="shared" si="22"/>
        <v>0</v>
      </c>
      <c r="J98" s="101"/>
      <c r="K98" s="101"/>
      <c r="L98" s="101"/>
      <c r="M98" s="363"/>
      <c r="N98" s="101"/>
    </row>
    <row r="99" spans="1:14" ht="12" thickBot="1" x14ac:dyDescent="0.25">
      <c r="A99" s="978"/>
      <c r="B99" s="1019"/>
      <c r="C99" s="71" t="s">
        <v>35</v>
      </c>
      <c r="D99" s="973" t="s">
        <v>177</v>
      </c>
      <c r="E99" s="974"/>
      <c r="F99" s="463">
        <v>626</v>
      </c>
      <c r="G99" s="84">
        <f t="shared" si="18"/>
        <v>67</v>
      </c>
      <c r="H99" s="84"/>
      <c r="I99" s="242">
        <f t="shared" si="22"/>
        <v>2880</v>
      </c>
      <c r="J99" s="89">
        <v>720</v>
      </c>
      <c r="K99" s="89">
        <v>720</v>
      </c>
      <c r="L99" s="89">
        <v>720</v>
      </c>
      <c r="M99" s="89">
        <v>720</v>
      </c>
      <c r="N99" s="89"/>
    </row>
    <row r="100" spans="1:14" ht="12" thickBot="1" x14ac:dyDescent="0.25">
      <c r="A100" s="978"/>
      <c r="B100" s="1019"/>
      <c r="C100" s="71" t="s">
        <v>178</v>
      </c>
      <c r="D100" s="973" t="s">
        <v>179</v>
      </c>
      <c r="E100" s="974"/>
      <c r="F100" s="463">
        <v>627</v>
      </c>
      <c r="G100" s="84">
        <f t="shared" si="18"/>
        <v>68</v>
      </c>
      <c r="H100" s="84"/>
      <c r="I100" s="242">
        <f t="shared" si="22"/>
        <v>3280</v>
      </c>
      <c r="J100" s="89">
        <v>820</v>
      </c>
      <c r="K100" s="89">
        <v>820</v>
      </c>
      <c r="L100" s="89">
        <v>820</v>
      </c>
      <c r="M100" s="89">
        <v>820</v>
      </c>
      <c r="N100" s="89"/>
    </row>
    <row r="101" spans="1:14" ht="12" thickBot="1" x14ac:dyDescent="0.25">
      <c r="A101" s="978"/>
      <c r="B101" s="1019"/>
      <c r="C101" s="71" t="s">
        <v>180</v>
      </c>
      <c r="D101" s="973" t="s">
        <v>181</v>
      </c>
      <c r="E101" s="974"/>
      <c r="F101" s="463" t="s">
        <v>611</v>
      </c>
      <c r="G101" s="84">
        <f t="shared" si="18"/>
        <v>69</v>
      </c>
      <c r="H101" s="84"/>
      <c r="I101" s="242">
        <f t="shared" si="22"/>
        <v>45200</v>
      </c>
      <c r="J101" s="117">
        <f>SUM(J102:J109)-J106</f>
        <v>11300</v>
      </c>
      <c r="K101" s="117">
        <f>SUM(K102:K109)-K106</f>
        <v>11300</v>
      </c>
      <c r="L101" s="117">
        <f>SUM(L102:L109)-L106</f>
        <v>11300</v>
      </c>
      <c r="M101" s="117">
        <f>SUM(M102:M109)-M106</f>
        <v>11300</v>
      </c>
      <c r="N101" s="89">
        <f>SUM(N102:N109)-N106</f>
        <v>0</v>
      </c>
    </row>
    <row r="102" spans="1:14" ht="12" thickBot="1" x14ac:dyDescent="0.25">
      <c r="A102" s="978"/>
      <c r="B102" s="1019"/>
      <c r="C102" s="71"/>
      <c r="D102" s="71" t="s">
        <v>56</v>
      </c>
      <c r="E102" s="71" t="s">
        <v>182</v>
      </c>
      <c r="F102" s="86" t="s">
        <v>612</v>
      </c>
      <c r="G102" s="84">
        <f t="shared" si="18"/>
        <v>70</v>
      </c>
      <c r="H102" s="84"/>
      <c r="I102" s="242">
        <f t="shared" si="22"/>
        <v>0</v>
      </c>
      <c r="J102" s="89"/>
      <c r="K102" s="89"/>
      <c r="L102" s="89"/>
      <c r="M102" s="113"/>
      <c r="N102" s="89"/>
    </row>
    <row r="103" spans="1:14" ht="12" thickBot="1" x14ac:dyDescent="0.25">
      <c r="A103" s="978"/>
      <c r="B103" s="1019"/>
      <c r="C103" s="71"/>
      <c r="D103" s="71" t="s">
        <v>57</v>
      </c>
      <c r="E103" s="71" t="s">
        <v>229</v>
      </c>
      <c r="F103" s="86" t="s">
        <v>613</v>
      </c>
      <c r="G103" s="84">
        <f t="shared" si="18"/>
        <v>71</v>
      </c>
      <c r="H103" s="84"/>
      <c r="I103" s="242">
        <f t="shared" si="22"/>
        <v>0</v>
      </c>
      <c r="J103" s="89"/>
      <c r="K103" s="89"/>
      <c r="L103" s="89"/>
      <c r="M103" s="113"/>
      <c r="N103" s="89"/>
    </row>
    <row r="104" spans="1:14" ht="12" thickBot="1" x14ac:dyDescent="0.25">
      <c r="A104" s="978"/>
      <c r="B104" s="1019"/>
      <c r="C104" s="71"/>
      <c r="D104" s="71" t="s">
        <v>58</v>
      </c>
      <c r="E104" s="71" t="s">
        <v>183</v>
      </c>
      <c r="F104" s="86">
        <v>614</v>
      </c>
      <c r="G104" s="84">
        <f t="shared" si="18"/>
        <v>72</v>
      </c>
      <c r="H104" s="84"/>
      <c r="I104" s="242">
        <f t="shared" si="22"/>
        <v>400</v>
      </c>
      <c r="J104" s="89">
        <v>100</v>
      </c>
      <c r="K104" s="89">
        <v>100</v>
      </c>
      <c r="L104" s="89">
        <v>100</v>
      </c>
      <c r="M104" s="89">
        <v>100</v>
      </c>
      <c r="N104" s="89"/>
    </row>
    <row r="105" spans="1:14" ht="23.25" thickBot="1" x14ac:dyDescent="0.25">
      <c r="A105" s="978"/>
      <c r="B105" s="1019"/>
      <c r="C105" s="71"/>
      <c r="D105" s="71" t="s">
        <v>59</v>
      </c>
      <c r="E105" s="71" t="s">
        <v>184</v>
      </c>
      <c r="F105" s="86" t="s">
        <v>614</v>
      </c>
      <c r="G105" s="84">
        <f t="shared" si="18"/>
        <v>73</v>
      </c>
      <c r="H105" s="84"/>
      <c r="I105" s="242">
        <f t="shared" si="22"/>
        <v>0</v>
      </c>
      <c r="J105" s="89"/>
      <c r="K105" s="89"/>
      <c r="L105" s="89"/>
      <c r="M105" s="113"/>
      <c r="N105" s="89"/>
    </row>
    <row r="106" spans="1:14" ht="12" thickBot="1" x14ac:dyDescent="0.25">
      <c r="A106" s="978"/>
      <c r="B106" s="1019"/>
      <c r="C106" s="71"/>
      <c r="D106" s="71"/>
      <c r="E106" s="71" t="s">
        <v>387</v>
      </c>
      <c r="F106" s="86"/>
      <c r="G106" s="84">
        <f t="shared" si="18"/>
        <v>74</v>
      </c>
      <c r="H106" s="84"/>
      <c r="I106" s="242">
        <f t="shared" si="22"/>
        <v>0</v>
      </c>
      <c r="J106" s="89"/>
      <c r="K106" s="89"/>
      <c r="L106" s="89"/>
      <c r="M106" s="113"/>
      <c r="N106" s="89"/>
    </row>
    <row r="107" spans="1:14" ht="12" thickBot="1" x14ac:dyDescent="0.25">
      <c r="A107" s="978"/>
      <c r="B107" s="1019"/>
      <c r="C107" s="71"/>
      <c r="D107" s="71" t="s">
        <v>60</v>
      </c>
      <c r="E107" s="71" t="s">
        <v>545</v>
      </c>
      <c r="F107" s="86" t="s">
        <v>615</v>
      </c>
      <c r="G107" s="84">
        <f t="shared" si="18"/>
        <v>75</v>
      </c>
      <c r="H107" s="84"/>
      <c r="I107" s="242">
        <f t="shared" si="22"/>
        <v>44800</v>
      </c>
      <c r="J107" s="89">
        <v>11200</v>
      </c>
      <c r="K107" s="89">
        <v>11200</v>
      </c>
      <c r="L107" s="89">
        <v>11200</v>
      </c>
      <c r="M107" s="89">
        <v>11200</v>
      </c>
      <c r="N107" s="89"/>
    </row>
    <row r="108" spans="1:14" ht="23.25" thickBot="1" x14ac:dyDescent="0.25">
      <c r="A108" s="978"/>
      <c r="B108" s="1019"/>
      <c r="C108" s="71"/>
      <c r="D108" s="71" t="s">
        <v>61</v>
      </c>
      <c r="E108" s="71" t="s">
        <v>185</v>
      </c>
      <c r="F108" s="86" t="s">
        <v>22</v>
      </c>
      <c r="G108" s="84">
        <f t="shared" si="18"/>
        <v>76</v>
      </c>
      <c r="H108" s="84"/>
      <c r="I108" s="242">
        <f t="shared" si="22"/>
        <v>0</v>
      </c>
      <c r="J108" s="242"/>
      <c r="K108" s="89"/>
      <c r="L108" s="89"/>
      <c r="M108" s="113"/>
      <c r="N108" s="89"/>
    </row>
    <row r="109" spans="1:14" ht="12" thickBot="1" x14ac:dyDescent="0.25">
      <c r="A109" s="978"/>
      <c r="B109" s="1019"/>
      <c r="C109" s="71"/>
      <c r="D109" s="71" t="s">
        <v>62</v>
      </c>
      <c r="E109" s="71" t="s">
        <v>186</v>
      </c>
      <c r="F109" s="86" t="s">
        <v>616</v>
      </c>
      <c r="G109" s="84">
        <f t="shared" si="18"/>
        <v>77</v>
      </c>
      <c r="H109" s="84"/>
      <c r="I109" s="242">
        <f t="shared" si="22"/>
        <v>0</v>
      </c>
      <c r="J109" s="89"/>
      <c r="K109" s="89"/>
      <c r="L109" s="89"/>
      <c r="M109" s="113"/>
      <c r="N109" s="89"/>
    </row>
    <row r="110" spans="1:14" ht="12" thickBot="1" x14ac:dyDescent="0.25">
      <c r="A110" s="978"/>
      <c r="B110" s="1019"/>
      <c r="C110" s="71" t="s">
        <v>344</v>
      </c>
      <c r="D110" s="973" t="s">
        <v>149</v>
      </c>
      <c r="E110" s="974"/>
      <c r="F110" s="463">
        <f>SUM(F111:F114)</f>
        <v>0</v>
      </c>
      <c r="G110" s="84">
        <f t="shared" si="18"/>
        <v>78</v>
      </c>
      <c r="H110" s="84"/>
      <c r="I110" s="242">
        <f t="shared" si="22"/>
        <v>124700</v>
      </c>
      <c r="J110" s="117">
        <f>SUM(J111:J114)</f>
        <v>27350</v>
      </c>
      <c r="K110" s="117">
        <f>SUM(K111:K114)</f>
        <v>32450</v>
      </c>
      <c r="L110" s="117">
        <f>SUM(L111:L114)</f>
        <v>32450</v>
      </c>
      <c r="M110" s="371">
        <f>SUM(M111:M114)</f>
        <v>32450</v>
      </c>
      <c r="N110" s="89">
        <f>SUM(N111:N114)</f>
        <v>0</v>
      </c>
    </row>
    <row r="111" spans="1:14" ht="12" thickBot="1" x14ac:dyDescent="0.25">
      <c r="A111" s="978"/>
      <c r="B111" s="1019"/>
      <c r="C111" s="460"/>
      <c r="D111" s="304"/>
      <c r="E111" s="461" t="s">
        <v>617</v>
      </c>
      <c r="F111" s="296" t="s">
        <v>618</v>
      </c>
      <c r="G111" s="84"/>
      <c r="H111" s="84"/>
      <c r="I111" s="242"/>
      <c r="J111" s="89">
        <v>1350</v>
      </c>
      <c r="K111" s="89">
        <v>1350</v>
      </c>
      <c r="L111" s="89">
        <v>1350</v>
      </c>
      <c r="M111" s="89">
        <v>1350</v>
      </c>
      <c r="N111" s="89"/>
    </row>
    <row r="112" spans="1:14" ht="12" thickBot="1" x14ac:dyDescent="0.25">
      <c r="A112" s="978"/>
      <c r="B112" s="1019"/>
      <c r="C112" s="460"/>
      <c r="D112" s="304"/>
      <c r="E112" s="461" t="s">
        <v>619</v>
      </c>
      <c r="F112" s="296" t="s">
        <v>620</v>
      </c>
      <c r="G112" s="84"/>
      <c r="H112" s="84"/>
      <c r="I112" s="242"/>
      <c r="J112" s="89"/>
      <c r="K112" s="89"/>
      <c r="L112" s="89"/>
      <c r="M112" s="113"/>
      <c r="N112" s="89"/>
    </row>
    <row r="113" spans="1:14" ht="12" thickBot="1" x14ac:dyDescent="0.25">
      <c r="A113" s="978"/>
      <c r="B113" s="1019"/>
      <c r="C113" s="460"/>
      <c r="D113" s="304"/>
      <c r="E113" s="461" t="s">
        <v>621</v>
      </c>
      <c r="F113" s="506" t="s">
        <v>622</v>
      </c>
      <c r="G113" s="84"/>
      <c r="H113" s="84"/>
      <c r="I113" s="242"/>
      <c r="J113" s="89">
        <v>1000</v>
      </c>
      <c r="K113" s="89">
        <v>1000</v>
      </c>
      <c r="L113" s="89">
        <v>1000</v>
      </c>
      <c r="M113" s="89">
        <v>1000</v>
      </c>
      <c r="N113" s="89"/>
    </row>
    <row r="114" spans="1:14" ht="23.25" thickBot="1" x14ac:dyDescent="0.25">
      <c r="A114" s="978"/>
      <c r="B114" s="1019"/>
      <c r="C114" s="460"/>
      <c r="D114" s="304"/>
      <c r="E114" s="461" t="s">
        <v>623</v>
      </c>
      <c r="F114" s="296" t="s">
        <v>624</v>
      </c>
      <c r="G114" s="84"/>
      <c r="H114" s="84"/>
      <c r="I114" s="242"/>
      <c r="J114" s="89">
        <v>25000</v>
      </c>
      <c r="K114" s="89">
        <v>30100</v>
      </c>
      <c r="L114" s="89">
        <v>30100</v>
      </c>
      <c r="M114" s="89">
        <v>30100</v>
      </c>
      <c r="N114" s="89"/>
    </row>
    <row r="115" spans="1:14" ht="24" customHeight="1" thickBot="1" x14ac:dyDescent="0.25">
      <c r="A115" s="978"/>
      <c r="B115" s="1019"/>
      <c r="C115" s="1026" t="s">
        <v>468</v>
      </c>
      <c r="D115" s="1027"/>
      <c r="E115" s="1028"/>
      <c r="F115" s="464"/>
      <c r="G115" s="97">
        <f>G110+1</f>
        <v>79</v>
      </c>
      <c r="H115" s="97"/>
      <c r="I115" s="98">
        <f t="shared" ref="I115:N115" si="23">I116+I117+I118+I119+I120+I121</f>
        <v>174558</v>
      </c>
      <c r="J115" s="98">
        <f t="shared" si="23"/>
        <v>43315</v>
      </c>
      <c r="K115" s="98">
        <f t="shared" si="23"/>
        <v>43780</v>
      </c>
      <c r="L115" s="98">
        <f t="shared" si="23"/>
        <v>43719</v>
      </c>
      <c r="M115" s="361">
        <f t="shared" si="23"/>
        <v>43744</v>
      </c>
      <c r="N115" s="98">
        <f t="shared" si="23"/>
        <v>0</v>
      </c>
    </row>
    <row r="116" spans="1:14" ht="20.25" customHeight="1" thickBot="1" x14ac:dyDescent="0.25">
      <c r="A116" s="978"/>
      <c r="B116" s="1019"/>
      <c r="C116" s="71" t="s">
        <v>27</v>
      </c>
      <c r="D116" s="973" t="s">
        <v>188</v>
      </c>
      <c r="E116" s="974"/>
      <c r="F116" s="463" t="s">
        <v>22</v>
      </c>
      <c r="G116" s="84">
        <f t="shared" si="18"/>
        <v>80</v>
      </c>
      <c r="H116" s="84"/>
      <c r="I116" s="89">
        <f t="shared" ref="I116:I121" si="24">SUM(J116:M116)</f>
        <v>0</v>
      </c>
      <c r="J116" s="89"/>
      <c r="K116" s="89"/>
      <c r="L116" s="89"/>
      <c r="M116" s="113"/>
      <c r="N116" s="89"/>
    </row>
    <row r="117" spans="1:14" ht="12" thickBot="1" x14ac:dyDescent="0.25">
      <c r="A117" s="978"/>
      <c r="B117" s="1019"/>
      <c r="C117" s="71" t="s">
        <v>38</v>
      </c>
      <c r="D117" s="973" t="s">
        <v>388</v>
      </c>
      <c r="E117" s="974"/>
      <c r="F117" s="463" t="s">
        <v>625</v>
      </c>
      <c r="G117" s="84">
        <f t="shared" si="18"/>
        <v>81</v>
      </c>
      <c r="H117" s="84"/>
      <c r="I117" s="89">
        <f t="shared" si="24"/>
        <v>120000</v>
      </c>
      <c r="J117" s="89">
        <v>30000</v>
      </c>
      <c r="K117" s="89">
        <v>30000</v>
      </c>
      <c r="L117" s="89">
        <v>30000</v>
      </c>
      <c r="M117" s="89">
        <v>30000</v>
      </c>
      <c r="N117" s="89"/>
    </row>
    <row r="118" spans="1:14" ht="12" thickBot="1" x14ac:dyDescent="0.25">
      <c r="A118" s="978"/>
      <c r="B118" s="1019"/>
      <c r="C118" s="71" t="s">
        <v>40</v>
      </c>
      <c r="D118" s="973" t="s">
        <v>41</v>
      </c>
      <c r="E118" s="974"/>
      <c r="F118" s="463" t="s">
        <v>626</v>
      </c>
      <c r="G118" s="84">
        <f t="shared" si="18"/>
        <v>82</v>
      </c>
      <c r="H118" s="84"/>
      <c r="I118" s="89">
        <f t="shared" si="24"/>
        <v>0</v>
      </c>
      <c r="J118" s="89"/>
      <c r="K118" s="89"/>
      <c r="L118" s="89"/>
      <c r="M118" s="113"/>
      <c r="N118" s="89"/>
    </row>
    <row r="119" spans="1:14" ht="12" thickBot="1" x14ac:dyDescent="0.25">
      <c r="A119" s="979"/>
      <c r="B119" s="1020"/>
      <c r="C119" s="71" t="s">
        <v>42</v>
      </c>
      <c r="D119" s="973" t="s">
        <v>43</v>
      </c>
      <c r="E119" s="974"/>
      <c r="F119" s="463" t="s">
        <v>627</v>
      </c>
      <c r="G119" s="84">
        <f t="shared" si="18"/>
        <v>83</v>
      </c>
      <c r="H119" s="84"/>
      <c r="I119" s="89">
        <f t="shared" si="24"/>
        <v>0</v>
      </c>
      <c r="J119" s="89"/>
      <c r="K119" s="89"/>
      <c r="L119" s="89"/>
      <c r="M119" s="113"/>
      <c r="N119" s="89"/>
    </row>
    <row r="120" spans="1:14" ht="12" thickBot="1" x14ac:dyDescent="0.25">
      <c r="A120" s="977"/>
      <c r="B120" s="1018"/>
      <c r="C120" s="71" t="s">
        <v>28</v>
      </c>
      <c r="D120" s="973" t="s">
        <v>44</v>
      </c>
      <c r="E120" s="974"/>
      <c r="F120" s="463" t="s">
        <v>628</v>
      </c>
      <c r="G120" s="84">
        <f t="shared" si="18"/>
        <v>84</v>
      </c>
      <c r="H120" s="84"/>
      <c r="I120" s="89">
        <f t="shared" si="24"/>
        <v>0</v>
      </c>
      <c r="J120" s="89"/>
      <c r="K120" s="89"/>
      <c r="L120" s="89"/>
      <c r="M120" s="113"/>
      <c r="N120" s="89"/>
    </row>
    <row r="121" spans="1:14" ht="12" thickBot="1" x14ac:dyDescent="0.25">
      <c r="A121" s="978"/>
      <c r="B121" s="1019"/>
      <c r="C121" s="71" t="s">
        <v>34</v>
      </c>
      <c r="D121" s="1029" t="s">
        <v>45</v>
      </c>
      <c r="E121" s="1032"/>
      <c r="F121" s="463" t="s">
        <v>629</v>
      </c>
      <c r="G121" s="84">
        <f t="shared" si="18"/>
        <v>85</v>
      </c>
      <c r="H121" s="84"/>
      <c r="I121" s="89">
        <f t="shared" si="24"/>
        <v>54558</v>
      </c>
      <c r="J121" s="89">
        <f>SUM(J122:J130)</f>
        <v>13315</v>
      </c>
      <c r="K121" s="89">
        <f>SUM(K122:K130)</f>
        <v>13780</v>
      </c>
      <c r="L121" s="89">
        <f>SUM(L122:L130)</f>
        <v>13719</v>
      </c>
      <c r="M121" s="113">
        <f>SUM(M122:M130)</f>
        <v>13744</v>
      </c>
      <c r="N121" s="89">
        <f>SUM(N122:N130)</f>
        <v>0</v>
      </c>
    </row>
    <row r="122" spans="1:14" ht="12" thickBot="1" x14ac:dyDescent="0.25">
      <c r="A122" s="978"/>
      <c r="B122" s="1019"/>
      <c r="C122" s="460"/>
      <c r="D122" s="460"/>
      <c r="E122" s="461" t="s">
        <v>630</v>
      </c>
      <c r="F122" s="296" t="s">
        <v>631</v>
      </c>
      <c r="G122" s="84"/>
      <c r="H122" s="84"/>
      <c r="I122" s="89"/>
      <c r="J122" s="89">
        <f>(J15+J16)*0.1%</f>
        <v>485</v>
      </c>
      <c r="K122" s="89">
        <f>(K15+K16)*0.1%</f>
        <v>550</v>
      </c>
      <c r="L122" s="89">
        <f>(L15+L16)*0.1%</f>
        <v>489</v>
      </c>
      <c r="M122" s="89">
        <f>(M15+M16)*0.1%</f>
        <v>514</v>
      </c>
      <c r="N122" s="89"/>
    </row>
    <row r="123" spans="1:14" ht="12" thickBot="1" x14ac:dyDescent="0.25">
      <c r="A123" s="978"/>
      <c r="B123" s="1019"/>
      <c r="C123" s="460"/>
      <c r="D123" s="460"/>
      <c r="E123" s="461" t="s">
        <v>632</v>
      </c>
      <c r="F123" s="296" t="s">
        <v>633</v>
      </c>
      <c r="G123" s="84"/>
      <c r="H123" s="84"/>
      <c r="I123" s="89"/>
      <c r="J123" s="89">
        <v>1200</v>
      </c>
      <c r="K123" s="89">
        <v>1200</v>
      </c>
      <c r="L123" s="89">
        <v>1200</v>
      </c>
      <c r="M123" s="89">
        <v>1200</v>
      </c>
      <c r="N123" s="89"/>
    </row>
    <row r="124" spans="1:14" ht="23.25" thickBot="1" x14ac:dyDescent="0.25">
      <c r="A124" s="978"/>
      <c r="B124" s="1019"/>
      <c r="C124" s="460"/>
      <c r="D124" s="460"/>
      <c r="E124" s="461" t="s">
        <v>634</v>
      </c>
      <c r="F124" s="296" t="s">
        <v>635</v>
      </c>
      <c r="G124" s="84"/>
      <c r="H124" s="84"/>
      <c r="I124" s="89"/>
      <c r="J124" s="89"/>
      <c r="K124" s="89"/>
      <c r="L124" s="89"/>
      <c r="M124" s="113"/>
      <c r="N124" s="89"/>
    </row>
    <row r="125" spans="1:14" ht="12" thickBot="1" x14ac:dyDescent="0.25">
      <c r="A125" s="978"/>
      <c r="B125" s="1019"/>
      <c r="C125" s="460"/>
      <c r="D125" s="460"/>
      <c r="E125" s="461" t="s">
        <v>636</v>
      </c>
      <c r="F125" s="296" t="s">
        <v>637</v>
      </c>
      <c r="G125" s="84"/>
      <c r="H125" s="84"/>
      <c r="I125" s="89"/>
      <c r="J125" s="89">
        <v>6100</v>
      </c>
      <c r="K125" s="89">
        <v>6100</v>
      </c>
      <c r="L125" s="89">
        <v>6100</v>
      </c>
      <c r="M125" s="89">
        <v>6100</v>
      </c>
      <c r="N125" s="89"/>
    </row>
    <row r="126" spans="1:14" ht="12" thickBot="1" x14ac:dyDescent="0.25">
      <c r="A126" s="978"/>
      <c r="B126" s="1019"/>
      <c r="C126" s="460"/>
      <c r="D126" s="460"/>
      <c r="E126" s="461" t="s">
        <v>638</v>
      </c>
      <c r="F126" s="296" t="s">
        <v>639</v>
      </c>
      <c r="G126" s="84"/>
      <c r="H126" s="84"/>
      <c r="I126" s="89"/>
      <c r="J126" s="89">
        <v>400</v>
      </c>
      <c r="K126" s="89">
        <v>400</v>
      </c>
      <c r="L126" s="89">
        <v>400</v>
      </c>
      <c r="M126" s="89">
        <v>400</v>
      </c>
      <c r="N126" s="89"/>
    </row>
    <row r="127" spans="1:14" ht="12" thickBot="1" x14ac:dyDescent="0.25">
      <c r="A127" s="978"/>
      <c r="B127" s="1019"/>
      <c r="C127" s="460"/>
      <c r="D127" s="460"/>
      <c r="E127" s="461" t="s">
        <v>640</v>
      </c>
      <c r="F127" s="296" t="s">
        <v>641</v>
      </c>
      <c r="G127" s="84"/>
      <c r="H127" s="84"/>
      <c r="I127" s="89"/>
      <c r="J127" s="89">
        <v>30</v>
      </c>
      <c r="K127" s="89">
        <v>30</v>
      </c>
      <c r="L127" s="89">
        <v>30</v>
      </c>
      <c r="M127" s="89">
        <v>30</v>
      </c>
      <c r="N127" s="89"/>
    </row>
    <row r="128" spans="1:14" ht="12" thickBot="1" x14ac:dyDescent="0.25">
      <c r="A128" s="978"/>
      <c r="B128" s="1019"/>
      <c r="C128" s="460"/>
      <c r="D128" s="460"/>
      <c r="E128" s="461" t="s">
        <v>642</v>
      </c>
      <c r="F128" s="296" t="s">
        <v>643</v>
      </c>
      <c r="G128" s="84"/>
      <c r="H128" s="84"/>
      <c r="I128" s="89"/>
      <c r="J128" s="89"/>
      <c r="K128" s="89"/>
      <c r="L128" s="89"/>
      <c r="M128" s="113"/>
      <c r="N128" s="89"/>
    </row>
    <row r="129" spans="1:14" ht="12" thickBot="1" x14ac:dyDescent="0.25">
      <c r="A129" s="978"/>
      <c r="B129" s="1019"/>
      <c r="C129" s="460"/>
      <c r="D129" s="460"/>
      <c r="E129" s="461" t="s">
        <v>644</v>
      </c>
      <c r="F129" s="296" t="s">
        <v>645</v>
      </c>
      <c r="G129" s="84"/>
      <c r="H129" s="84"/>
      <c r="I129" s="89"/>
      <c r="J129" s="89">
        <v>5100</v>
      </c>
      <c r="K129" s="89">
        <v>5500</v>
      </c>
      <c r="L129" s="89">
        <v>5500</v>
      </c>
      <c r="M129" s="89">
        <v>5500</v>
      </c>
      <c r="N129" s="89"/>
    </row>
    <row r="130" spans="1:14" ht="12" thickBot="1" x14ac:dyDescent="0.25">
      <c r="A130" s="978"/>
      <c r="B130" s="1019"/>
      <c r="C130" s="460"/>
      <c r="D130" s="460"/>
      <c r="E130" s="461" t="s">
        <v>646</v>
      </c>
      <c r="F130" s="296" t="s">
        <v>647</v>
      </c>
      <c r="G130" s="84"/>
      <c r="H130" s="84"/>
      <c r="I130" s="89"/>
      <c r="J130" s="89"/>
      <c r="K130" s="89"/>
      <c r="L130" s="89"/>
      <c r="M130" s="113"/>
      <c r="N130" s="89"/>
    </row>
    <row r="131" spans="1:14" ht="21" customHeight="1" thickBot="1" x14ac:dyDescent="0.25">
      <c r="A131" s="978"/>
      <c r="B131" s="1019"/>
      <c r="C131" s="1026" t="s">
        <v>474</v>
      </c>
      <c r="D131" s="1027"/>
      <c r="E131" s="1028"/>
      <c r="F131" s="464"/>
      <c r="G131" s="97">
        <f>G121+1</f>
        <v>86</v>
      </c>
      <c r="H131" s="97"/>
      <c r="I131" s="255">
        <f t="shared" ref="I131:N131" si="25">I133+I137+I145+I149+I158</f>
        <v>1166334.1691999999</v>
      </c>
      <c r="J131" s="98">
        <f t="shared" si="25"/>
        <v>241305.09195999999</v>
      </c>
      <c r="K131" s="98">
        <f t="shared" si="25"/>
        <v>329725.15824000002</v>
      </c>
      <c r="L131" s="98">
        <f t="shared" si="25"/>
        <v>295887.49823999999</v>
      </c>
      <c r="M131" s="361">
        <f t="shared" si="25"/>
        <v>299416.42076000001</v>
      </c>
      <c r="N131" s="98">
        <f t="shared" si="25"/>
        <v>0</v>
      </c>
    </row>
    <row r="132" spans="1:14" ht="12" thickBot="1" x14ac:dyDescent="0.25">
      <c r="A132" s="978"/>
      <c r="B132" s="1019"/>
      <c r="C132" s="306" t="s">
        <v>396</v>
      </c>
      <c r="D132" s="1033" t="s">
        <v>413</v>
      </c>
      <c r="E132" s="1034"/>
      <c r="F132" s="307">
        <v>641</v>
      </c>
      <c r="G132" s="308">
        <f t="shared" si="18"/>
        <v>87</v>
      </c>
      <c r="H132" s="308"/>
      <c r="I132" s="309">
        <f t="shared" ref="I132:N132" si="26">I133+I137</f>
        <v>966990</v>
      </c>
      <c r="J132" s="309">
        <f t="shared" si="26"/>
        <v>200077</v>
      </c>
      <c r="K132" s="309">
        <f t="shared" si="26"/>
        <v>274466</v>
      </c>
      <c r="L132" s="309">
        <f t="shared" si="26"/>
        <v>244963</v>
      </c>
      <c r="M132" s="364">
        <f t="shared" si="26"/>
        <v>247484</v>
      </c>
      <c r="N132" s="309">
        <f t="shared" si="26"/>
        <v>0</v>
      </c>
    </row>
    <row r="133" spans="1:14" ht="20.25" customHeight="1" thickBot="1" x14ac:dyDescent="0.25">
      <c r="A133" s="978"/>
      <c r="B133" s="1019"/>
      <c r="C133" s="293" t="s">
        <v>46</v>
      </c>
      <c r="D133" s="1026" t="s">
        <v>189</v>
      </c>
      <c r="E133" s="1028"/>
      <c r="F133" s="464">
        <v>641</v>
      </c>
      <c r="G133" s="97">
        <f t="shared" si="18"/>
        <v>88</v>
      </c>
      <c r="H133" s="97"/>
      <c r="I133" s="98">
        <f t="shared" ref="I133:N133" si="27">I134+I135+I136</f>
        <v>823780</v>
      </c>
      <c r="J133" s="98">
        <f t="shared" si="27"/>
        <v>180714</v>
      </c>
      <c r="K133" s="98">
        <f t="shared" si="27"/>
        <v>192216</v>
      </c>
      <c r="L133" s="98">
        <f t="shared" si="27"/>
        <v>223216</v>
      </c>
      <c r="M133" s="361">
        <f t="shared" si="27"/>
        <v>227634</v>
      </c>
      <c r="N133" s="98">
        <f t="shared" si="27"/>
        <v>0</v>
      </c>
    </row>
    <row r="134" spans="1:14" ht="12" thickBot="1" x14ac:dyDescent="0.25">
      <c r="A134" s="978"/>
      <c r="B134" s="1019"/>
      <c r="C134" s="1018"/>
      <c r="D134" s="973" t="s">
        <v>190</v>
      </c>
      <c r="E134" s="974"/>
      <c r="F134" s="463">
        <v>641</v>
      </c>
      <c r="G134" s="84">
        <f t="shared" si="18"/>
        <v>89</v>
      </c>
      <c r="H134" s="84"/>
      <c r="I134" s="101">
        <f>SUM(J134:M134)</f>
        <v>673946</v>
      </c>
      <c r="J134" s="89">
        <v>166250</v>
      </c>
      <c r="K134" s="89">
        <v>168000</v>
      </c>
      <c r="L134" s="89">
        <v>168000</v>
      </c>
      <c r="M134" s="89">
        <v>171696</v>
      </c>
      <c r="N134" s="89"/>
    </row>
    <row r="135" spans="1:14" ht="24" customHeight="1" thickBot="1" x14ac:dyDescent="0.25">
      <c r="A135" s="978"/>
      <c r="B135" s="1019"/>
      <c r="C135" s="1019"/>
      <c r="D135" s="973" t="s">
        <v>191</v>
      </c>
      <c r="E135" s="974"/>
      <c r="F135" s="463"/>
      <c r="G135" s="84">
        <f t="shared" si="18"/>
        <v>90</v>
      </c>
      <c r="H135" s="84"/>
      <c r="I135" s="101">
        <f>SUM(J135:M135)</f>
        <v>58634</v>
      </c>
      <c r="J135" s="89">
        <v>14464</v>
      </c>
      <c r="K135" s="89">
        <v>14616</v>
      </c>
      <c r="L135" s="89">
        <v>14616</v>
      </c>
      <c r="M135" s="113">
        <v>14938</v>
      </c>
      <c r="N135" s="89"/>
    </row>
    <row r="136" spans="1:14" ht="12" thickBot="1" x14ac:dyDescent="0.25">
      <c r="A136" s="978"/>
      <c r="B136" s="1019"/>
      <c r="C136" s="1020"/>
      <c r="D136" s="973" t="s">
        <v>192</v>
      </c>
      <c r="E136" s="974"/>
      <c r="F136" s="463"/>
      <c r="G136" s="84">
        <f t="shared" si="18"/>
        <v>91</v>
      </c>
      <c r="H136" s="84"/>
      <c r="I136" s="101">
        <f>SUM(J136:M136)</f>
        <v>91200</v>
      </c>
      <c r="J136" s="89"/>
      <c r="K136" s="89">
        <v>9600</v>
      </c>
      <c r="L136" s="89">
        <v>40600</v>
      </c>
      <c r="M136" s="113">
        <v>41000</v>
      </c>
      <c r="N136" s="89"/>
    </row>
    <row r="137" spans="1:14" ht="17.25" customHeight="1" thickBot="1" x14ac:dyDescent="0.25">
      <c r="A137" s="978"/>
      <c r="B137" s="1019"/>
      <c r="C137" s="293" t="s">
        <v>67</v>
      </c>
      <c r="D137" s="1026" t="s">
        <v>389</v>
      </c>
      <c r="E137" s="1028"/>
      <c r="F137" s="464"/>
      <c r="G137" s="97">
        <f t="shared" si="18"/>
        <v>92</v>
      </c>
      <c r="H137" s="97"/>
      <c r="I137" s="98">
        <f t="shared" ref="I137:N137" si="28">I138+I141+I142+I143+I144</f>
        <v>143210</v>
      </c>
      <c r="J137" s="98">
        <f t="shared" si="28"/>
        <v>19363</v>
      </c>
      <c r="K137" s="98">
        <f t="shared" si="28"/>
        <v>82250</v>
      </c>
      <c r="L137" s="98">
        <f t="shared" si="28"/>
        <v>21747</v>
      </c>
      <c r="M137" s="361">
        <f t="shared" si="28"/>
        <v>19850</v>
      </c>
      <c r="N137" s="98">
        <f t="shared" si="28"/>
        <v>0</v>
      </c>
    </row>
    <row r="138" spans="1:14" ht="33" customHeight="1" thickBot="1" x14ac:dyDescent="0.25">
      <c r="A138" s="978"/>
      <c r="B138" s="1019"/>
      <c r="C138" s="71"/>
      <c r="D138" s="973" t="s">
        <v>187</v>
      </c>
      <c r="E138" s="974"/>
      <c r="F138" s="463">
        <v>6458</v>
      </c>
      <c r="G138" s="84">
        <f t="shared" si="18"/>
        <v>93</v>
      </c>
      <c r="H138" s="84"/>
      <c r="I138" s="89">
        <f t="shared" ref="I138:I144" si="29">SUM(J138:M138)</f>
        <v>17400</v>
      </c>
      <c r="J138" s="89">
        <v>1000</v>
      </c>
      <c r="K138" s="89">
        <v>13400</v>
      </c>
      <c r="L138" s="89">
        <v>2000</v>
      </c>
      <c r="M138" s="89">
        <v>1000</v>
      </c>
      <c r="N138" s="89"/>
    </row>
    <row r="139" spans="1:14" ht="12" thickBot="1" x14ac:dyDescent="0.25">
      <c r="A139" s="978"/>
      <c r="B139" s="1019"/>
      <c r="C139" s="71"/>
      <c r="D139" s="71"/>
      <c r="E139" s="71" t="s">
        <v>193</v>
      </c>
      <c r="F139" s="86"/>
      <c r="G139" s="84">
        <f t="shared" si="18"/>
        <v>94</v>
      </c>
      <c r="H139" s="84"/>
      <c r="I139" s="89">
        <f t="shared" si="29"/>
        <v>0</v>
      </c>
      <c r="J139" s="89"/>
      <c r="K139" s="89"/>
      <c r="L139" s="89"/>
      <c r="M139" s="113"/>
      <c r="N139" s="89"/>
    </row>
    <row r="140" spans="1:14" ht="23.25" thickBot="1" x14ac:dyDescent="0.25">
      <c r="A140" s="978"/>
      <c r="B140" s="1019"/>
      <c r="C140" s="71"/>
      <c r="D140" s="71"/>
      <c r="E140" s="71" t="s">
        <v>194</v>
      </c>
      <c r="F140" s="86" t="s">
        <v>648</v>
      </c>
      <c r="G140" s="84">
        <f t="shared" si="18"/>
        <v>95</v>
      </c>
      <c r="H140" s="84"/>
      <c r="I140" s="89">
        <f t="shared" si="29"/>
        <v>12800</v>
      </c>
      <c r="J140" s="89"/>
      <c r="K140" s="89">
        <v>12800</v>
      </c>
      <c r="L140" s="89">
        <v>0</v>
      </c>
      <c r="M140" s="113">
        <v>0</v>
      </c>
      <c r="N140" s="89"/>
    </row>
    <row r="141" spans="1:14" ht="12" thickBot="1" x14ac:dyDescent="0.25">
      <c r="A141" s="978"/>
      <c r="B141" s="1019"/>
      <c r="C141" s="71"/>
      <c r="D141" s="973" t="s">
        <v>74</v>
      </c>
      <c r="E141" s="974"/>
      <c r="F141" s="463" t="s">
        <v>649</v>
      </c>
      <c r="G141" s="84">
        <f t="shared" ref="G141:G175" si="30">G140+1</f>
        <v>96</v>
      </c>
      <c r="H141" s="84"/>
      <c r="I141" s="89">
        <f t="shared" si="29"/>
        <v>75810</v>
      </c>
      <c r="J141" s="89">
        <v>18363</v>
      </c>
      <c r="K141" s="89">
        <v>18850</v>
      </c>
      <c r="L141" s="89">
        <v>19747</v>
      </c>
      <c r="M141" s="113">
        <v>18850</v>
      </c>
      <c r="N141" s="89"/>
    </row>
    <row r="142" spans="1:14" ht="12" thickBot="1" x14ac:dyDescent="0.25">
      <c r="A142" s="978"/>
      <c r="B142" s="1019"/>
      <c r="C142" s="71"/>
      <c r="D142" s="973" t="s">
        <v>195</v>
      </c>
      <c r="E142" s="974"/>
      <c r="F142" s="463"/>
      <c r="G142" s="84">
        <f t="shared" si="30"/>
        <v>97</v>
      </c>
      <c r="H142" s="84"/>
      <c r="I142" s="89">
        <f t="shared" si="29"/>
        <v>0</v>
      </c>
      <c r="J142" s="89"/>
      <c r="K142" s="89"/>
      <c r="L142" s="89"/>
      <c r="M142" s="113"/>
      <c r="N142" s="89"/>
    </row>
    <row r="143" spans="1:14" ht="20.25" customHeight="1" thickBot="1" x14ac:dyDescent="0.25">
      <c r="A143" s="978"/>
      <c r="B143" s="1019"/>
      <c r="C143" s="71"/>
      <c r="D143" s="973" t="s">
        <v>390</v>
      </c>
      <c r="E143" s="974"/>
      <c r="F143" s="463">
        <v>643</v>
      </c>
      <c r="G143" s="84">
        <f t="shared" si="30"/>
        <v>98</v>
      </c>
      <c r="H143" s="84"/>
      <c r="I143" s="89">
        <f t="shared" si="29"/>
        <v>50000</v>
      </c>
      <c r="J143" s="404"/>
      <c r="K143" s="404">
        <v>50000</v>
      </c>
      <c r="L143" s="89"/>
      <c r="M143" s="113"/>
      <c r="N143" s="89"/>
    </row>
    <row r="144" spans="1:14" ht="12" thickBot="1" x14ac:dyDescent="0.25">
      <c r="A144" s="978"/>
      <c r="B144" s="1019"/>
      <c r="C144" s="71"/>
      <c r="D144" s="973" t="s">
        <v>196</v>
      </c>
      <c r="E144" s="974"/>
      <c r="F144" s="463"/>
      <c r="G144" s="84">
        <f t="shared" si="30"/>
        <v>99</v>
      </c>
      <c r="H144" s="84"/>
      <c r="I144" s="89">
        <f t="shared" si="29"/>
        <v>0</v>
      </c>
      <c r="J144" s="89"/>
      <c r="K144" s="89"/>
      <c r="L144" s="89"/>
      <c r="M144" s="113"/>
      <c r="N144" s="89"/>
    </row>
    <row r="145" spans="1:14" ht="22.5" customHeight="1" thickBot="1" x14ac:dyDescent="0.25">
      <c r="A145" s="978"/>
      <c r="B145" s="1019"/>
      <c r="C145" s="293" t="s">
        <v>124</v>
      </c>
      <c r="D145" s="1026" t="s">
        <v>197</v>
      </c>
      <c r="E145" s="1028"/>
      <c r="F145" s="464"/>
      <c r="G145" s="97">
        <f t="shared" si="30"/>
        <v>100</v>
      </c>
      <c r="H145" s="97"/>
      <c r="I145" s="98">
        <f t="shared" ref="I145:N145" si="31">I146+I147+I148</f>
        <v>0</v>
      </c>
      <c r="J145" s="98">
        <f t="shared" si="31"/>
        <v>0</v>
      </c>
      <c r="K145" s="98">
        <f t="shared" si="31"/>
        <v>0</v>
      </c>
      <c r="L145" s="98">
        <f t="shared" si="31"/>
        <v>0</v>
      </c>
      <c r="M145" s="361">
        <f t="shared" si="31"/>
        <v>0</v>
      </c>
      <c r="N145" s="98">
        <f t="shared" si="31"/>
        <v>0</v>
      </c>
    </row>
    <row r="146" spans="1:14" ht="21.75" customHeight="1" thickBot="1" x14ac:dyDescent="0.25">
      <c r="A146" s="978"/>
      <c r="B146" s="1019"/>
      <c r="C146" s="71"/>
      <c r="D146" s="973" t="s">
        <v>198</v>
      </c>
      <c r="E146" s="974"/>
      <c r="F146" s="463" t="s">
        <v>22</v>
      </c>
      <c r="G146" s="84">
        <f t="shared" si="30"/>
        <v>101</v>
      </c>
      <c r="H146" s="84"/>
      <c r="I146" s="89">
        <f>SUM(J146:M146)</f>
        <v>0</v>
      </c>
      <c r="J146" s="89">
        <v>0</v>
      </c>
      <c r="K146" s="89">
        <v>0</v>
      </c>
      <c r="L146" s="89">
        <v>0</v>
      </c>
      <c r="M146" s="113">
        <v>0</v>
      </c>
      <c r="N146" s="89">
        <v>0</v>
      </c>
    </row>
    <row r="147" spans="1:14" ht="23.25" customHeight="1" thickBot="1" x14ac:dyDescent="0.25">
      <c r="A147" s="978"/>
      <c r="B147" s="1019"/>
      <c r="C147" s="71"/>
      <c r="D147" s="973" t="s">
        <v>199</v>
      </c>
      <c r="E147" s="974"/>
      <c r="F147" s="463" t="s">
        <v>22</v>
      </c>
      <c r="G147" s="84">
        <f t="shared" si="30"/>
        <v>102</v>
      </c>
      <c r="H147" s="84"/>
      <c r="I147" s="89">
        <f>SUM(J147:M147)</f>
        <v>0</v>
      </c>
      <c r="J147" s="89">
        <v>0</v>
      </c>
      <c r="K147" s="89">
        <v>0</v>
      </c>
      <c r="L147" s="89">
        <v>0</v>
      </c>
      <c r="M147" s="113">
        <v>0</v>
      </c>
      <c r="N147" s="89">
        <v>0</v>
      </c>
    </row>
    <row r="148" spans="1:14" ht="21" customHeight="1" thickBot="1" x14ac:dyDescent="0.25">
      <c r="A148" s="978"/>
      <c r="B148" s="1019"/>
      <c r="C148" s="71"/>
      <c r="D148" s="973" t="s">
        <v>200</v>
      </c>
      <c r="E148" s="974"/>
      <c r="F148" s="463" t="s">
        <v>22</v>
      </c>
      <c r="G148" s="84">
        <f t="shared" si="30"/>
        <v>103</v>
      </c>
      <c r="H148" s="84"/>
      <c r="I148" s="89">
        <f>SUM(J148:M148)</f>
        <v>0</v>
      </c>
      <c r="J148" s="89">
        <v>0</v>
      </c>
      <c r="K148" s="89">
        <v>0</v>
      </c>
      <c r="L148" s="89">
        <v>0</v>
      </c>
      <c r="M148" s="113">
        <v>0</v>
      </c>
      <c r="N148" s="89">
        <v>0</v>
      </c>
    </row>
    <row r="149" spans="1:14" ht="22.5" customHeight="1" thickBot="1" x14ac:dyDescent="0.25">
      <c r="A149" s="978"/>
      <c r="B149" s="1019"/>
      <c r="C149" s="293" t="s">
        <v>63</v>
      </c>
      <c r="D149" s="986" t="s">
        <v>75</v>
      </c>
      <c r="E149" s="988"/>
      <c r="F149" s="465"/>
      <c r="G149" s="97">
        <f t="shared" si="30"/>
        <v>104</v>
      </c>
      <c r="H149" s="97"/>
      <c r="I149" s="100">
        <f t="shared" ref="I149:N149" si="32">I150+I153+I156+I157</f>
        <v>0</v>
      </c>
      <c r="J149" s="100">
        <f t="shared" si="32"/>
        <v>0</v>
      </c>
      <c r="K149" s="100">
        <f t="shared" si="32"/>
        <v>0</v>
      </c>
      <c r="L149" s="100">
        <f t="shared" si="32"/>
        <v>0</v>
      </c>
      <c r="M149" s="362">
        <f t="shared" si="32"/>
        <v>0</v>
      </c>
      <c r="N149" s="100">
        <f t="shared" si="32"/>
        <v>0</v>
      </c>
    </row>
    <row r="150" spans="1:14" ht="12" thickBot="1" x14ac:dyDescent="0.25">
      <c r="A150" s="978"/>
      <c r="B150" s="1019"/>
      <c r="C150" s="1018"/>
      <c r="D150" s="973" t="s">
        <v>282</v>
      </c>
      <c r="E150" s="974"/>
      <c r="F150" s="463" t="s">
        <v>650</v>
      </c>
      <c r="G150" s="84">
        <f t="shared" si="30"/>
        <v>105</v>
      </c>
      <c r="H150" s="84"/>
      <c r="I150" s="250">
        <f t="shared" ref="I150:I155" si="33">SUM(J150:M150)</f>
        <v>0</v>
      </c>
      <c r="J150" s="250">
        <f>SUM(J151:J152)</f>
        <v>0</v>
      </c>
      <c r="K150" s="250">
        <f>SUM(K151:K152)</f>
        <v>0</v>
      </c>
      <c r="L150" s="250">
        <f>SUM(L151:L152)</f>
        <v>0</v>
      </c>
      <c r="M150" s="365">
        <f>SUM(M151:M152)</f>
        <v>0</v>
      </c>
      <c r="N150" s="250">
        <f>SUM(N151:N152)</f>
        <v>0</v>
      </c>
    </row>
    <row r="151" spans="1:14" ht="12" thickBot="1" x14ac:dyDescent="0.25">
      <c r="A151" s="978"/>
      <c r="B151" s="1019"/>
      <c r="C151" s="1019"/>
      <c r="D151" s="306"/>
      <c r="E151" s="310" t="s">
        <v>414</v>
      </c>
      <c r="F151" s="311"/>
      <c r="G151" s="308">
        <f t="shared" si="30"/>
        <v>106</v>
      </c>
      <c r="H151" s="308"/>
      <c r="I151" s="312">
        <f t="shared" si="33"/>
        <v>0</v>
      </c>
      <c r="J151" s="312"/>
      <c r="K151" s="312"/>
      <c r="L151" s="312"/>
      <c r="M151" s="366"/>
      <c r="N151" s="312"/>
    </row>
    <row r="152" spans="1:14" ht="12" thickBot="1" x14ac:dyDescent="0.25">
      <c r="A152" s="978"/>
      <c r="B152" s="1019"/>
      <c r="C152" s="1019"/>
      <c r="D152" s="306"/>
      <c r="E152" s="310" t="s">
        <v>415</v>
      </c>
      <c r="F152" s="311"/>
      <c r="G152" s="308">
        <f t="shared" si="30"/>
        <v>107</v>
      </c>
      <c r="H152" s="308"/>
      <c r="I152" s="312">
        <f t="shared" si="33"/>
        <v>0</v>
      </c>
      <c r="J152" s="312"/>
      <c r="K152" s="312"/>
      <c r="L152" s="312"/>
      <c r="M152" s="366"/>
      <c r="N152" s="312"/>
    </row>
    <row r="153" spans="1:14" ht="19.5" customHeight="1" thickBot="1" x14ac:dyDescent="0.25">
      <c r="A153" s="978"/>
      <c r="B153" s="1019"/>
      <c r="C153" s="1019"/>
      <c r="D153" s="973" t="s">
        <v>201</v>
      </c>
      <c r="E153" s="974"/>
      <c r="F153" s="463" t="s">
        <v>651</v>
      </c>
      <c r="G153" s="84">
        <f t="shared" si="30"/>
        <v>108</v>
      </c>
      <c r="H153" s="84"/>
      <c r="I153" s="250">
        <f t="shared" si="33"/>
        <v>0</v>
      </c>
      <c r="J153" s="250">
        <f>SUM(J154:J155)</f>
        <v>0</v>
      </c>
      <c r="K153" s="250">
        <f>SUM(K154:K155)</f>
        <v>0</v>
      </c>
      <c r="L153" s="250">
        <f>SUM(L154:L155)</f>
        <v>0</v>
      </c>
      <c r="M153" s="365">
        <f>SUM(M154:M155)</f>
        <v>0</v>
      </c>
      <c r="N153" s="250">
        <f>SUM(N154:N155)</f>
        <v>0</v>
      </c>
    </row>
    <row r="154" spans="1:14" ht="12" thickBot="1" x14ac:dyDescent="0.25">
      <c r="A154" s="978"/>
      <c r="B154" s="1019"/>
      <c r="C154" s="1019"/>
      <c r="D154" s="313"/>
      <c r="E154" s="310" t="s">
        <v>414</v>
      </c>
      <c r="F154" s="311"/>
      <c r="G154" s="308">
        <f t="shared" si="30"/>
        <v>109</v>
      </c>
      <c r="H154" s="308"/>
      <c r="I154" s="125">
        <f t="shared" si="33"/>
        <v>0</v>
      </c>
      <c r="J154" s="125"/>
      <c r="K154" s="125"/>
      <c r="L154" s="125"/>
      <c r="M154" s="367"/>
      <c r="N154" s="125"/>
    </row>
    <row r="155" spans="1:14" ht="12" thickBot="1" x14ac:dyDescent="0.25">
      <c r="A155" s="978"/>
      <c r="B155" s="1019"/>
      <c r="C155" s="1019"/>
      <c r="D155" s="313"/>
      <c r="E155" s="310" t="s">
        <v>415</v>
      </c>
      <c r="F155" s="311"/>
      <c r="G155" s="308">
        <f t="shared" si="30"/>
        <v>110</v>
      </c>
      <c r="H155" s="308"/>
      <c r="I155" s="125">
        <f t="shared" si="33"/>
        <v>0</v>
      </c>
      <c r="J155" s="125"/>
      <c r="K155" s="125"/>
      <c r="L155" s="125"/>
      <c r="M155" s="367"/>
      <c r="N155" s="125"/>
    </row>
    <row r="156" spans="1:14" ht="12" thickBot="1" x14ac:dyDescent="0.25">
      <c r="A156" s="978"/>
      <c r="B156" s="1019"/>
      <c r="C156" s="1020"/>
      <c r="D156" s="973" t="s">
        <v>202</v>
      </c>
      <c r="E156" s="974"/>
      <c r="F156" s="463" t="s">
        <v>652</v>
      </c>
      <c r="G156" s="84">
        <f t="shared" si="30"/>
        <v>111</v>
      </c>
      <c r="H156" s="84"/>
      <c r="I156" s="250">
        <f t="shared" ref="I156:I164" si="34">SUM(J156:M156)</f>
        <v>0</v>
      </c>
      <c r="J156" s="250"/>
      <c r="K156" s="250"/>
      <c r="L156" s="250"/>
      <c r="M156" s="365"/>
      <c r="N156" s="250"/>
    </row>
    <row r="157" spans="1:14" ht="12" thickBot="1" x14ac:dyDescent="0.25">
      <c r="A157" s="978"/>
      <c r="B157" s="1019"/>
      <c r="C157" s="71"/>
      <c r="D157" s="973" t="s">
        <v>203</v>
      </c>
      <c r="E157" s="974"/>
      <c r="F157" s="463"/>
      <c r="G157" s="84">
        <f t="shared" si="30"/>
        <v>112</v>
      </c>
      <c r="H157" s="84"/>
      <c r="I157" s="89">
        <f t="shared" si="34"/>
        <v>0</v>
      </c>
      <c r="J157" s="89">
        <v>0</v>
      </c>
      <c r="K157" s="89">
        <v>0</v>
      </c>
      <c r="L157" s="89">
        <v>0</v>
      </c>
      <c r="M157" s="113">
        <v>0</v>
      </c>
      <c r="N157" s="89">
        <v>0</v>
      </c>
    </row>
    <row r="158" spans="1:14" ht="21" customHeight="1" thickBot="1" x14ac:dyDescent="0.25">
      <c r="A158" s="978"/>
      <c r="B158" s="1019"/>
      <c r="C158" s="293" t="s">
        <v>68</v>
      </c>
      <c r="D158" s="986" t="s">
        <v>204</v>
      </c>
      <c r="E158" s="988"/>
      <c r="F158" s="465"/>
      <c r="G158" s="97">
        <f t="shared" si="30"/>
        <v>113</v>
      </c>
      <c r="H158" s="409">
        <f>SUM(H159:H161)</f>
        <v>0.22814000000000001</v>
      </c>
      <c r="I158" s="100">
        <f t="shared" si="34"/>
        <v>199344.1692</v>
      </c>
      <c r="J158" s="100">
        <f>SUM(J159:J164)</f>
        <v>41228.091960000005</v>
      </c>
      <c r="K158" s="100">
        <f>SUM(K159:K164)</f>
        <v>55259.158240000004</v>
      </c>
      <c r="L158" s="100">
        <f>SUM(L159:L164)</f>
        <v>50924.498240000001</v>
      </c>
      <c r="M158" s="362">
        <f>SUM(M159:M164)</f>
        <v>51932.420759999994</v>
      </c>
      <c r="N158" s="100">
        <f>SUM(N159:N164)</f>
        <v>0</v>
      </c>
    </row>
    <row r="159" spans="1:14" ht="12" thickBot="1" x14ac:dyDescent="0.25">
      <c r="A159" s="978"/>
      <c r="B159" s="1019"/>
      <c r="C159" s="467"/>
      <c r="D159" s="973" t="s">
        <v>205</v>
      </c>
      <c r="E159" s="974"/>
      <c r="F159" s="463">
        <v>645</v>
      </c>
      <c r="G159" s="84">
        <f t="shared" si="30"/>
        <v>114</v>
      </c>
      <c r="H159" s="410">
        <f>(15.8+0.214)%</f>
        <v>0.16014</v>
      </c>
      <c r="I159" s="101">
        <f t="shared" si="34"/>
        <v>139927.12920000002</v>
      </c>
      <c r="J159" s="405">
        <f>(J133+J143+J149)*$H$159</f>
        <v>28939.539960000002</v>
      </c>
      <c r="K159" s="405">
        <f>(K133+K143+K149)*$H$159</f>
        <v>38788.470240000002</v>
      </c>
      <c r="L159" s="405">
        <f>(L133+L143+L149)*$H$159</f>
        <v>35745.810239999999</v>
      </c>
      <c r="M159" s="405">
        <f>(M133+M143+M149)*$H$159</f>
        <v>36453.30876</v>
      </c>
      <c r="N159" s="89"/>
    </row>
    <row r="160" spans="1:14" ht="12" thickBot="1" x14ac:dyDescent="0.25">
      <c r="A160" s="978"/>
      <c r="B160" s="1019"/>
      <c r="C160" s="468"/>
      <c r="D160" s="973" t="s">
        <v>206</v>
      </c>
      <c r="E160" s="974"/>
      <c r="F160" s="463">
        <v>6452</v>
      </c>
      <c r="G160" s="84">
        <f t="shared" si="30"/>
        <v>115</v>
      </c>
      <c r="H160" s="410">
        <v>7.4999999999999997E-3</v>
      </c>
      <c r="I160" s="101">
        <f t="shared" si="34"/>
        <v>6553.3499999999995</v>
      </c>
      <c r="J160" s="405">
        <f>(J133+J143+J149)*$H$160</f>
        <v>1355.355</v>
      </c>
      <c r="K160" s="405">
        <f>(K133+K143+K149)*$H$160</f>
        <v>1816.62</v>
      </c>
      <c r="L160" s="405">
        <f>(L133+L143+L149)*$H$160</f>
        <v>1674.12</v>
      </c>
      <c r="M160" s="405">
        <f>(M133+M143+M149)*$H$160</f>
        <v>1707.2549999999999</v>
      </c>
      <c r="N160" s="89"/>
    </row>
    <row r="161" spans="1:14" ht="12" thickBot="1" x14ac:dyDescent="0.25">
      <c r="A161" s="978"/>
      <c r="B161" s="1019"/>
      <c r="C161" s="468"/>
      <c r="D161" s="973" t="s">
        <v>207</v>
      </c>
      <c r="E161" s="974"/>
      <c r="F161" s="463">
        <v>6453</v>
      </c>
      <c r="G161" s="84">
        <f t="shared" si="30"/>
        <v>116</v>
      </c>
      <c r="H161" s="410">
        <v>6.0499999999999998E-2</v>
      </c>
      <c r="I161" s="101">
        <f t="shared" si="34"/>
        <v>52863.69</v>
      </c>
      <c r="J161" s="405">
        <f>(J133+J143+J149)*$H$161</f>
        <v>10933.197</v>
      </c>
      <c r="K161" s="405">
        <f>(K133+K143+K149)*$H$161</f>
        <v>14654.067999999999</v>
      </c>
      <c r="L161" s="405">
        <f>(L133+L143+L149)*$H$161</f>
        <v>13504.567999999999</v>
      </c>
      <c r="M161" s="405">
        <f>(M133+M143+M149)*$H$161</f>
        <v>13771.857</v>
      </c>
      <c r="N161" s="89"/>
    </row>
    <row r="162" spans="1:14" ht="21" customHeight="1" thickBot="1" x14ac:dyDescent="0.25">
      <c r="A162" s="978"/>
      <c r="B162" s="1019"/>
      <c r="C162" s="468"/>
      <c r="D162" s="973" t="s">
        <v>208</v>
      </c>
      <c r="E162" s="974"/>
      <c r="F162" s="463"/>
      <c r="G162" s="84">
        <f t="shared" si="30"/>
        <v>117</v>
      </c>
      <c r="H162" s="84"/>
      <c r="I162" s="101">
        <f t="shared" si="34"/>
        <v>0</v>
      </c>
      <c r="J162" s="89"/>
      <c r="K162" s="89"/>
      <c r="L162" s="89"/>
      <c r="M162" s="89"/>
      <c r="N162" s="89"/>
    </row>
    <row r="163" spans="1:14" ht="12" thickBot="1" x14ac:dyDescent="0.25">
      <c r="A163" s="978"/>
      <c r="B163" s="1019"/>
      <c r="C163" s="468"/>
      <c r="D163" s="973" t="s">
        <v>209</v>
      </c>
      <c r="E163" s="974"/>
      <c r="F163" s="463"/>
      <c r="G163" s="84">
        <f t="shared" si="30"/>
        <v>118</v>
      </c>
      <c r="H163" s="84"/>
      <c r="I163" s="101">
        <f t="shared" si="34"/>
        <v>0</v>
      </c>
      <c r="J163" s="89"/>
      <c r="K163" s="89"/>
      <c r="L163" s="89"/>
      <c r="M163" s="89"/>
      <c r="N163" s="89"/>
    </row>
    <row r="164" spans="1:14" ht="12" thickBot="1" x14ac:dyDescent="0.25">
      <c r="A164" s="978"/>
      <c r="B164" s="1019"/>
      <c r="C164" s="469"/>
      <c r="D164" s="973" t="s">
        <v>210</v>
      </c>
      <c r="E164" s="974"/>
      <c r="F164" s="463"/>
      <c r="G164" s="84">
        <f t="shared" si="30"/>
        <v>119</v>
      </c>
      <c r="H164" s="84"/>
      <c r="I164" s="101">
        <f t="shared" si="34"/>
        <v>0</v>
      </c>
      <c r="J164" s="89"/>
      <c r="K164" s="89"/>
      <c r="L164" s="89"/>
      <c r="M164" s="89"/>
      <c r="N164" s="89"/>
    </row>
    <row r="165" spans="1:14" ht="22.5" customHeight="1" thickBot="1" x14ac:dyDescent="0.25">
      <c r="A165" s="978"/>
      <c r="B165" s="1019"/>
      <c r="C165" s="986" t="s">
        <v>469</v>
      </c>
      <c r="D165" s="987"/>
      <c r="E165" s="988"/>
      <c r="F165" s="465"/>
      <c r="G165" s="97">
        <f t="shared" si="30"/>
        <v>120</v>
      </c>
      <c r="H165" s="97"/>
      <c r="I165" s="100">
        <f t="shared" ref="I165:N165" si="35">I166+I169+I170+I171+I172+I173</f>
        <v>71700</v>
      </c>
      <c r="J165" s="100">
        <f>J166+J169+J170+J171+J172+J173</f>
        <v>1300</v>
      </c>
      <c r="K165" s="100">
        <f>K166+K169+K170+K171+K172+K173</f>
        <v>7800</v>
      </c>
      <c r="L165" s="100">
        <f>L166+L169+L170+L171+L172+L173</f>
        <v>7800</v>
      </c>
      <c r="M165" s="362">
        <f>M166+M169+M170+M171+M172+M173</f>
        <v>54800</v>
      </c>
      <c r="N165" s="100">
        <f t="shared" si="35"/>
        <v>0</v>
      </c>
    </row>
    <row r="166" spans="1:14" ht="12" thickBot="1" x14ac:dyDescent="0.25">
      <c r="A166" s="978"/>
      <c r="B166" s="1019"/>
      <c r="C166" s="71" t="s">
        <v>27</v>
      </c>
      <c r="D166" s="973" t="s">
        <v>470</v>
      </c>
      <c r="E166" s="974"/>
      <c r="F166" s="463"/>
      <c r="G166" s="84">
        <f t="shared" si="30"/>
        <v>121</v>
      </c>
      <c r="H166" s="84"/>
      <c r="I166" s="89">
        <f t="shared" ref="I166:N166" si="36">SUM(I167:I168)</f>
        <v>20200</v>
      </c>
      <c r="J166" s="89">
        <f t="shared" si="36"/>
        <v>2800</v>
      </c>
      <c r="K166" s="89">
        <f t="shared" si="36"/>
        <v>5800</v>
      </c>
      <c r="L166" s="89">
        <f t="shared" si="36"/>
        <v>5800</v>
      </c>
      <c r="M166" s="113">
        <f t="shared" si="36"/>
        <v>5800</v>
      </c>
      <c r="N166" s="89">
        <f t="shared" si="36"/>
        <v>0</v>
      </c>
    </row>
    <row r="167" spans="1:14" ht="12" thickBot="1" x14ac:dyDescent="0.25">
      <c r="A167" s="978"/>
      <c r="B167" s="1019"/>
      <c r="C167" s="71"/>
      <c r="D167" s="973" t="s">
        <v>211</v>
      </c>
      <c r="E167" s="974"/>
      <c r="F167" s="463">
        <v>6581</v>
      </c>
      <c r="G167" s="84">
        <f t="shared" si="30"/>
        <v>122</v>
      </c>
      <c r="H167" s="84"/>
      <c r="I167" s="89">
        <f t="shared" ref="I167:I172" si="37">SUM(J167:M167)</f>
        <v>0</v>
      </c>
      <c r="J167" s="89"/>
      <c r="K167" s="89"/>
      <c r="L167" s="89"/>
      <c r="M167" s="113"/>
      <c r="N167" s="89"/>
    </row>
    <row r="168" spans="1:14" ht="12" thickBot="1" x14ac:dyDescent="0.25">
      <c r="A168" s="978"/>
      <c r="B168" s="1019"/>
      <c r="C168" s="71"/>
      <c r="D168" s="973" t="s">
        <v>212</v>
      </c>
      <c r="E168" s="974"/>
      <c r="F168" s="463" t="s">
        <v>653</v>
      </c>
      <c r="G168" s="84">
        <f t="shared" si="30"/>
        <v>123</v>
      </c>
      <c r="H168" s="84"/>
      <c r="I168" s="89">
        <f t="shared" si="37"/>
        <v>20200</v>
      </c>
      <c r="J168" s="89">
        <v>2800</v>
      </c>
      <c r="K168" s="89">
        <v>5800</v>
      </c>
      <c r="L168" s="89">
        <v>5800</v>
      </c>
      <c r="M168" s="113">
        <v>5800</v>
      </c>
      <c r="N168" s="89"/>
    </row>
    <row r="169" spans="1:14" ht="12" thickBot="1" x14ac:dyDescent="0.25">
      <c r="A169" s="979"/>
      <c r="B169" s="1020"/>
      <c r="C169" s="71" t="s">
        <v>38</v>
      </c>
      <c r="D169" s="973" t="s">
        <v>213</v>
      </c>
      <c r="E169" s="974"/>
      <c r="F169" s="463">
        <v>653</v>
      </c>
      <c r="G169" s="84">
        <f t="shared" si="30"/>
        <v>124</v>
      </c>
      <c r="H169" s="84"/>
      <c r="I169" s="89">
        <f t="shared" si="37"/>
        <v>0</v>
      </c>
      <c r="J169" s="89"/>
      <c r="K169" s="89"/>
      <c r="L169" s="89"/>
      <c r="M169" s="113"/>
      <c r="N169" s="89"/>
    </row>
    <row r="170" spans="1:14" ht="12" thickBot="1" x14ac:dyDescent="0.25">
      <c r="A170" s="977"/>
      <c r="B170" s="1018"/>
      <c r="C170" s="71" t="s">
        <v>40</v>
      </c>
      <c r="D170" s="973" t="s">
        <v>287</v>
      </c>
      <c r="E170" s="974"/>
      <c r="F170" s="463"/>
      <c r="G170" s="84">
        <f t="shared" si="30"/>
        <v>125</v>
      </c>
      <c r="H170" s="84"/>
      <c r="I170" s="89">
        <f t="shared" si="37"/>
        <v>0</v>
      </c>
      <c r="J170" s="89"/>
      <c r="K170" s="89"/>
      <c r="L170" s="89"/>
      <c r="M170" s="113"/>
      <c r="N170" s="89"/>
    </row>
    <row r="171" spans="1:14" ht="12" thickBot="1" x14ac:dyDescent="0.25">
      <c r="A171" s="978"/>
      <c r="B171" s="1019"/>
      <c r="C171" s="71" t="s">
        <v>42</v>
      </c>
      <c r="D171" s="973" t="s">
        <v>149</v>
      </c>
      <c r="E171" s="974"/>
      <c r="F171" s="463">
        <v>658</v>
      </c>
      <c r="G171" s="84">
        <f t="shared" si="30"/>
        <v>126</v>
      </c>
      <c r="H171" s="84"/>
      <c r="I171" s="89">
        <f t="shared" si="37"/>
        <v>0</v>
      </c>
      <c r="J171" s="89"/>
      <c r="K171" s="89"/>
      <c r="L171" s="89"/>
      <c r="M171" s="113"/>
      <c r="N171" s="89"/>
    </row>
    <row r="172" spans="1:14" ht="12" thickBot="1" x14ac:dyDescent="0.25">
      <c r="A172" s="978"/>
      <c r="B172" s="1019"/>
      <c r="C172" s="71" t="s">
        <v>28</v>
      </c>
      <c r="D172" s="973" t="s">
        <v>288</v>
      </c>
      <c r="E172" s="974"/>
      <c r="F172" s="463">
        <v>681</v>
      </c>
      <c r="G172" s="84">
        <f t="shared" si="30"/>
        <v>127</v>
      </c>
      <c r="H172" s="84"/>
      <c r="I172" s="89">
        <f t="shared" si="37"/>
        <v>47500</v>
      </c>
      <c r="J172" s="89">
        <v>11500</v>
      </c>
      <c r="K172" s="89">
        <v>12000</v>
      </c>
      <c r="L172" s="89">
        <v>12000</v>
      </c>
      <c r="M172" s="113">
        <v>12000</v>
      </c>
      <c r="N172" s="89"/>
    </row>
    <row r="173" spans="1:14" ht="23.25" customHeight="1" thickBot="1" x14ac:dyDescent="0.25">
      <c r="A173" s="978"/>
      <c r="B173" s="1020"/>
      <c r="C173" s="71" t="s">
        <v>34</v>
      </c>
      <c r="D173" s="973" t="s">
        <v>345</v>
      </c>
      <c r="E173" s="974"/>
      <c r="F173" s="463"/>
      <c r="G173" s="84">
        <f t="shared" si="30"/>
        <v>128</v>
      </c>
      <c r="H173" s="84"/>
      <c r="I173" s="89">
        <f t="shared" ref="I173:N173" si="38">I174-I177</f>
        <v>4000</v>
      </c>
      <c r="J173" s="89">
        <f t="shared" si="38"/>
        <v>-13000</v>
      </c>
      <c r="K173" s="89">
        <f t="shared" si="38"/>
        <v>-10000</v>
      </c>
      <c r="L173" s="89">
        <f t="shared" si="38"/>
        <v>-10000</v>
      </c>
      <c r="M173" s="113">
        <f t="shared" si="38"/>
        <v>37000</v>
      </c>
      <c r="N173" s="89">
        <f t="shared" si="38"/>
        <v>0</v>
      </c>
    </row>
    <row r="174" spans="1:14" ht="12" thickBot="1" x14ac:dyDescent="0.25">
      <c r="A174" s="978"/>
      <c r="B174" s="71"/>
      <c r="C174" s="71"/>
      <c r="D174" s="71" t="s">
        <v>51</v>
      </c>
      <c r="E174" s="71" t="s">
        <v>460</v>
      </c>
      <c r="F174" s="86">
        <v>6814</v>
      </c>
      <c r="G174" s="84">
        <f t="shared" si="30"/>
        <v>129</v>
      </c>
      <c r="H174" s="84"/>
      <c r="I174" s="89">
        <f>SUM(J174:M174)</f>
        <v>50000</v>
      </c>
      <c r="J174" s="89"/>
      <c r="K174" s="89"/>
      <c r="L174" s="89"/>
      <c r="M174" s="113">
        <v>50000</v>
      </c>
      <c r="N174" s="89"/>
    </row>
    <row r="175" spans="1:14" ht="12" thickBot="1" x14ac:dyDescent="0.25">
      <c r="A175" s="978"/>
      <c r="B175" s="71"/>
      <c r="C175" s="71"/>
      <c r="D175" s="306" t="s">
        <v>416</v>
      </c>
      <c r="E175" s="310" t="s">
        <v>417</v>
      </c>
      <c r="F175" s="311" t="s">
        <v>654</v>
      </c>
      <c r="G175" s="84">
        <f t="shared" si="30"/>
        <v>130</v>
      </c>
      <c r="H175" s="84"/>
      <c r="I175" s="89">
        <f>SUM(J175:M175)</f>
        <v>0</v>
      </c>
      <c r="J175" s="89"/>
      <c r="K175" s="89"/>
      <c r="L175" s="89"/>
      <c r="M175" s="113"/>
      <c r="N175" s="89"/>
    </row>
    <row r="176" spans="1:14" ht="12" thickBot="1" x14ac:dyDescent="0.25">
      <c r="A176" s="978"/>
      <c r="B176" s="71"/>
      <c r="C176" s="71"/>
      <c r="D176" s="306" t="s">
        <v>418</v>
      </c>
      <c r="E176" s="316" t="s">
        <v>419</v>
      </c>
      <c r="F176" s="317"/>
      <c r="G176" s="121" t="s">
        <v>420</v>
      </c>
      <c r="H176" s="408"/>
      <c r="I176" s="89"/>
      <c r="J176" s="89"/>
      <c r="K176" s="89"/>
      <c r="L176" s="89"/>
      <c r="M176" s="113"/>
      <c r="N176" s="89"/>
    </row>
    <row r="177" spans="1:14" ht="23.25" thickBot="1" x14ac:dyDescent="0.25">
      <c r="A177" s="978"/>
      <c r="B177" s="71"/>
      <c r="C177" s="71"/>
      <c r="D177" s="318" t="s">
        <v>52</v>
      </c>
      <c r="E177" s="71" t="s">
        <v>346</v>
      </c>
      <c r="F177" s="86">
        <v>781</v>
      </c>
      <c r="G177" s="84">
        <v>131</v>
      </c>
      <c r="H177" s="84"/>
      <c r="I177" s="89">
        <f t="shared" ref="I177:N177" si="39">I178</f>
        <v>46000</v>
      </c>
      <c r="J177" s="89">
        <f t="shared" si="39"/>
        <v>13000</v>
      </c>
      <c r="K177" s="89">
        <f t="shared" si="39"/>
        <v>10000</v>
      </c>
      <c r="L177" s="89">
        <f t="shared" si="39"/>
        <v>10000</v>
      </c>
      <c r="M177" s="113">
        <f t="shared" si="39"/>
        <v>13000</v>
      </c>
      <c r="N177" s="89">
        <f t="shared" si="39"/>
        <v>0</v>
      </c>
    </row>
    <row r="178" spans="1:14" ht="12" thickBot="1" x14ac:dyDescent="0.25">
      <c r="A178" s="978"/>
      <c r="B178" s="71"/>
      <c r="C178" s="71"/>
      <c r="D178" s="318" t="s">
        <v>65</v>
      </c>
      <c r="E178" s="71" t="s">
        <v>459</v>
      </c>
      <c r="F178" s="86">
        <v>7814</v>
      </c>
      <c r="G178" s="84">
        <f t="shared" ref="G178:G194" si="40">G177+1</f>
        <v>132</v>
      </c>
      <c r="H178" s="84"/>
      <c r="I178" s="89">
        <f t="shared" ref="I178:N178" si="41">I179+I180+I181</f>
        <v>46000</v>
      </c>
      <c r="J178" s="89">
        <f t="shared" si="41"/>
        <v>13000</v>
      </c>
      <c r="K178" s="89">
        <f t="shared" si="41"/>
        <v>10000</v>
      </c>
      <c r="L178" s="89">
        <f t="shared" si="41"/>
        <v>10000</v>
      </c>
      <c r="M178" s="113">
        <f t="shared" si="41"/>
        <v>13000</v>
      </c>
      <c r="N178" s="89">
        <f t="shared" si="41"/>
        <v>0</v>
      </c>
    </row>
    <row r="179" spans="1:14" ht="12" thickBot="1" x14ac:dyDescent="0.25">
      <c r="A179" s="978"/>
      <c r="B179" s="71"/>
      <c r="C179" s="71"/>
      <c r="D179" s="71"/>
      <c r="E179" s="71" t="s">
        <v>426</v>
      </c>
      <c r="F179" s="86">
        <v>7812</v>
      </c>
      <c r="G179" s="84">
        <f t="shared" si="40"/>
        <v>133</v>
      </c>
      <c r="H179" s="84"/>
      <c r="I179" s="89">
        <f>SUM(J179:M179)</f>
        <v>0</v>
      </c>
      <c r="J179" s="89"/>
      <c r="K179" s="89"/>
      <c r="L179" s="89"/>
      <c r="M179" s="113"/>
      <c r="N179" s="89"/>
    </row>
    <row r="180" spans="1:14" ht="12" thickBot="1" x14ac:dyDescent="0.25">
      <c r="A180" s="978"/>
      <c r="B180" s="71"/>
      <c r="C180" s="71"/>
      <c r="D180" s="71"/>
      <c r="E180" s="71" t="s">
        <v>347</v>
      </c>
      <c r="F180" s="86"/>
      <c r="G180" s="84">
        <f t="shared" si="40"/>
        <v>134</v>
      </c>
      <c r="H180" s="84"/>
      <c r="I180" s="89">
        <f>SUM(J180:M180)</f>
        <v>46000</v>
      </c>
      <c r="J180" s="89">
        <v>13000</v>
      </c>
      <c r="K180" s="89">
        <v>10000</v>
      </c>
      <c r="L180" s="89">
        <v>10000</v>
      </c>
      <c r="M180" s="89">
        <v>13000</v>
      </c>
      <c r="N180" s="89"/>
    </row>
    <row r="181" spans="1:14" ht="12" thickBot="1" x14ac:dyDescent="0.25">
      <c r="A181" s="978"/>
      <c r="B181" s="71"/>
      <c r="C181" s="71"/>
      <c r="D181" s="71"/>
      <c r="E181" s="71" t="s">
        <v>348</v>
      </c>
      <c r="F181" s="86"/>
      <c r="G181" s="84">
        <f t="shared" si="40"/>
        <v>135</v>
      </c>
      <c r="H181" s="84"/>
      <c r="I181" s="89">
        <f>SUM(J181:M181)</f>
        <v>0</v>
      </c>
      <c r="J181" s="89"/>
      <c r="K181" s="89"/>
      <c r="L181" s="89"/>
      <c r="M181" s="113"/>
      <c r="N181" s="89"/>
    </row>
    <row r="182" spans="1:14" ht="21.75" customHeight="1" thickBot="1" x14ac:dyDescent="0.25">
      <c r="A182" s="978"/>
      <c r="B182" s="282" t="s">
        <v>21</v>
      </c>
      <c r="C182" s="282"/>
      <c r="D182" s="1023" t="s">
        <v>471</v>
      </c>
      <c r="E182" s="1025"/>
      <c r="F182" s="292"/>
      <c r="G182" s="284">
        <f t="shared" si="40"/>
        <v>136</v>
      </c>
      <c r="H182" s="284"/>
      <c r="I182" s="88">
        <f>I183+I186+I189</f>
        <v>0</v>
      </c>
      <c r="J182" s="88">
        <f>J183+J187+J189</f>
        <v>0</v>
      </c>
      <c r="K182" s="88">
        <f>K183+K187+K189</f>
        <v>0</v>
      </c>
      <c r="L182" s="88">
        <f>L183+L187+L189</f>
        <v>0</v>
      </c>
      <c r="M182" s="353">
        <f>M183+M187+M189</f>
        <v>0</v>
      </c>
      <c r="N182" s="88">
        <f>N183+N187+N189</f>
        <v>0</v>
      </c>
    </row>
    <row r="183" spans="1:14" ht="12" thickBot="1" x14ac:dyDescent="0.25">
      <c r="A183" s="978"/>
      <c r="B183" s="1018"/>
      <c r="C183" s="71" t="s">
        <v>27</v>
      </c>
      <c r="D183" s="973" t="s">
        <v>461</v>
      </c>
      <c r="E183" s="974"/>
      <c r="F183" s="463"/>
      <c r="G183" s="84">
        <f t="shared" si="40"/>
        <v>137</v>
      </c>
      <c r="H183" s="84"/>
      <c r="I183" s="89">
        <f t="shared" ref="I183:N183" si="42">I184+I185</f>
        <v>0</v>
      </c>
      <c r="J183" s="89">
        <f t="shared" si="42"/>
        <v>0</v>
      </c>
      <c r="K183" s="89">
        <f t="shared" si="42"/>
        <v>0</v>
      </c>
      <c r="L183" s="89">
        <f t="shared" si="42"/>
        <v>0</v>
      </c>
      <c r="M183" s="113">
        <f t="shared" si="42"/>
        <v>0</v>
      </c>
      <c r="N183" s="89">
        <f t="shared" si="42"/>
        <v>0</v>
      </c>
    </row>
    <row r="184" spans="1:14" ht="12" thickBot="1" x14ac:dyDescent="0.25">
      <c r="A184" s="978"/>
      <c r="B184" s="1019"/>
      <c r="C184" s="71"/>
      <c r="D184" s="71" t="s">
        <v>237</v>
      </c>
      <c r="E184" s="71" t="s">
        <v>294</v>
      </c>
      <c r="F184" s="86">
        <v>666</v>
      </c>
      <c r="G184" s="84">
        <f t="shared" si="40"/>
        <v>138</v>
      </c>
      <c r="H184" s="84"/>
      <c r="I184" s="89">
        <f>SUM(J184:M184)</f>
        <v>0</v>
      </c>
      <c r="J184" s="89"/>
      <c r="K184" s="89"/>
      <c r="L184" s="89"/>
      <c r="M184" s="113"/>
      <c r="N184" s="89"/>
    </row>
    <row r="185" spans="1:14" ht="12" thickBot="1" x14ac:dyDescent="0.25">
      <c r="A185" s="978"/>
      <c r="B185" s="1019"/>
      <c r="C185" s="71"/>
      <c r="D185" s="71" t="s">
        <v>66</v>
      </c>
      <c r="E185" s="71" t="s">
        <v>349</v>
      </c>
      <c r="F185" s="86"/>
      <c r="G185" s="84">
        <f t="shared" si="40"/>
        <v>139</v>
      </c>
      <c r="H185" s="84"/>
      <c r="I185" s="89">
        <f>SUM(J185:M185)</f>
        <v>0</v>
      </c>
      <c r="J185" s="112"/>
      <c r="K185" s="112"/>
      <c r="L185" s="112"/>
      <c r="M185" s="368"/>
      <c r="N185" s="112"/>
    </row>
    <row r="186" spans="1:14" ht="21" customHeight="1" thickBot="1" x14ac:dyDescent="0.25">
      <c r="A186" s="978"/>
      <c r="B186" s="1019"/>
      <c r="C186" s="71" t="s">
        <v>38</v>
      </c>
      <c r="D186" s="973" t="s">
        <v>440</v>
      </c>
      <c r="E186" s="974"/>
      <c r="F186" s="463"/>
      <c r="G186" s="84">
        <f t="shared" si="40"/>
        <v>140</v>
      </c>
      <c r="H186" s="462"/>
      <c r="I186" s="113">
        <f>I187+I188</f>
        <v>0</v>
      </c>
      <c r="J186" s="406">
        <f>SUM(J187:J188)</f>
        <v>0</v>
      </c>
      <c r="K186" s="406">
        <f>SUM(K187:K188)</f>
        <v>0</v>
      </c>
      <c r="L186" s="406">
        <f>SUM(L187:L188)</f>
        <v>0</v>
      </c>
      <c r="M186" s="407">
        <f>SUM(M187:M188)</f>
        <v>0</v>
      </c>
      <c r="N186" s="380">
        <f>SUM(N187:N188)</f>
        <v>0</v>
      </c>
    </row>
    <row r="187" spans="1:14" ht="12" thickBot="1" x14ac:dyDescent="0.25">
      <c r="A187" s="978"/>
      <c r="B187" s="1019"/>
      <c r="C187" s="71"/>
      <c r="D187" s="71" t="s">
        <v>76</v>
      </c>
      <c r="E187" s="71" t="s">
        <v>294</v>
      </c>
      <c r="F187" s="86">
        <v>665</v>
      </c>
      <c r="G187" s="84">
        <f t="shared" si="40"/>
        <v>141</v>
      </c>
      <c r="H187" s="84"/>
      <c r="I187" s="89">
        <f>SUM(J187:M187)</f>
        <v>0</v>
      </c>
      <c r="J187" s="115"/>
      <c r="K187" s="115"/>
      <c r="L187" s="115"/>
      <c r="M187" s="370"/>
      <c r="N187" s="115"/>
    </row>
    <row r="188" spans="1:14" ht="12" thickBot="1" x14ac:dyDescent="0.25">
      <c r="A188" s="978"/>
      <c r="B188" s="1019"/>
      <c r="C188" s="71"/>
      <c r="D188" s="71" t="s">
        <v>99</v>
      </c>
      <c r="E188" s="71" t="s">
        <v>295</v>
      </c>
      <c r="F188" s="86"/>
      <c r="G188" s="84">
        <f t="shared" si="40"/>
        <v>142</v>
      </c>
      <c r="H188" s="84"/>
      <c r="I188" s="89">
        <f>SUM(J188:M188)</f>
        <v>0</v>
      </c>
      <c r="J188" s="89"/>
      <c r="K188" s="89"/>
      <c r="L188" s="89"/>
      <c r="M188" s="113"/>
      <c r="N188" s="89"/>
    </row>
    <row r="189" spans="1:14" ht="12" thickBot="1" x14ac:dyDescent="0.25">
      <c r="A189" s="978"/>
      <c r="B189" s="1020"/>
      <c r="C189" s="71" t="s">
        <v>40</v>
      </c>
      <c r="D189" s="973" t="s">
        <v>296</v>
      </c>
      <c r="E189" s="974"/>
      <c r="F189" s="463">
        <v>668</v>
      </c>
      <c r="G189" s="84">
        <f t="shared" si="40"/>
        <v>143</v>
      </c>
      <c r="H189" s="84"/>
      <c r="I189" s="89">
        <f>SUM(J189:M189)</f>
        <v>0</v>
      </c>
      <c r="J189" s="89"/>
      <c r="K189" s="89"/>
      <c r="L189" s="89"/>
      <c r="M189" s="113"/>
      <c r="N189" s="89"/>
    </row>
    <row r="190" spans="1:14" ht="12" thickBot="1" x14ac:dyDescent="0.25">
      <c r="A190" s="979"/>
      <c r="B190" s="71" t="s">
        <v>17</v>
      </c>
      <c r="C190" s="319"/>
      <c r="D190" s="1041" t="s">
        <v>129</v>
      </c>
      <c r="E190" s="1042"/>
      <c r="F190" s="320"/>
      <c r="G190" s="84">
        <f t="shared" si="40"/>
        <v>144</v>
      </c>
      <c r="H190" s="84"/>
      <c r="I190" s="89">
        <f>SUM(J190:M190)</f>
        <v>0</v>
      </c>
      <c r="J190" s="117"/>
      <c r="K190" s="117"/>
      <c r="L190" s="117"/>
      <c r="M190" s="371"/>
      <c r="N190" s="117"/>
    </row>
    <row r="191" spans="1:14" ht="12" thickBot="1" x14ac:dyDescent="0.25">
      <c r="A191" s="87" t="s">
        <v>130</v>
      </c>
      <c r="B191" s="321"/>
      <c r="C191" s="321"/>
      <c r="D191" s="1023" t="s">
        <v>441</v>
      </c>
      <c r="E191" s="1025"/>
      <c r="F191" s="292"/>
      <c r="G191" s="284">
        <f t="shared" si="40"/>
        <v>145</v>
      </c>
      <c r="H191" s="284"/>
      <c r="I191" s="88">
        <f t="shared" ref="I191:N191" si="43">I10-I41</f>
        <v>68985.114800000563</v>
      </c>
      <c r="J191" s="88">
        <f t="shared" si="43"/>
        <v>10609.229040000006</v>
      </c>
      <c r="K191" s="88">
        <f t="shared" si="43"/>
        <v>33079.162759999977</v>
      </c>
      <c r="L191" s="88">
        <f t="shared" si="43"/>
        <v>13872.82276000001</v>
      </c>
      <c r="M191" s="353">
        <f t="shared" si="43"/>
        <v>11423.900239999988</v>
      </c>
      <c r="N191" s="88">
        <f t="shared" si="43"/>
        <v>0</v>
      </c>
    </row>
    <row r="192" spans="1:14" ht="12" thickBot="1" x14ac:dyDescent="0.25">
      <c r="A192" s="87"/>
      <c r="B192" s="321"/>
      <c r="C192" s="321"/>
      <c r="D192" s="322"/>
      <c r="E192" s="322" t="s">
        <v>421</v>
      </c>
      <c r="F192" s="323"/>
      <c r="G192" s="121">
        <v>146</v>
      </c>
      <c r="H192" s="408"/>
      <c r="I192" s="324">
        <f>SUM(J192:M192)</f>
        <v>46000</v>
      </c>
      <c r="J192" s="324">
        <f t="shared" ref="J192:N192" si="44">J177</f>
        <v>13000</v>
      </c>
      <c r="K192" s="324">
        <f t="shared" si="44"/>
        <v>10000</v>
      </c>
      <c r="L192" s="324">
        <f t="shared" si="44"/>
        <v>10000</v>
      </c>
      <c r="M192" s="324">
        <f t="shared" si="44"/>
        <v>13000</v>
      </c>
      <c r="N192" s="324">
        <f t="shared" si="44"/>
        <v>0</v>
      </c>
    </row>
    <row r="193" spans="1:14" ht="12" thickBot="1" x14ac:dyDescent="0.25">
      <c r="A193" s="84"/>
      <c r="B193" s="71"/>
      <c r="C193" s="71"/>
      <c r="D193" s="322"/>
      <c r="E193" s="322" t="s">
        <v>297</v>
      </c>
      <c r="F193" s="323"/>
      <c r="G193" s="121">
        <v>147</v>
      </c>
      <c r="H193" s="408"/>
      <c r="I193" s="324">
        <f>SUM(J193:M193)</f>
        <v>50000</v>
      </c>
      <c r="J193" s="242">
        <f t="shared" ref="J193:M193" si="45">J174</f>
        <v>0</v>
      </c>
      <c r="K193" s="242">
        <f t="shared" si="45"/>
        <v>0</v>
      </c>
      <c r="L193" s="242">
        <f t="shared" si="45"/>
        <v>0</v>
      </c>
      <c r="M193" s="242">
        <f t="shared" si="45"/>
        <v>50000</v>
      </c>
      <c r="N193" s="242">
        <f>N173</f>
        <v>0</v>
      </c>
    </row>
    <row r="194" spans="1:14" ht="12" thickBot="1" x14ac:dyDescent="0.25">
      <c r="A194" s="87" t="s">
        <v>132</v>
      </c>
      <c r="B194" s="321"/>
      <c r="C194" s="321"/>
      <c r="D194" s="1023" t="s">
        <v>133</v>
      </c>
      <c r="E194" s="1025"/>
      <c r="F194" s="292"/>
      <c r="G194" s="284">
        <f t="shared" si="40"/>
        <v>148</v>
      </c>
      <c r="H194" s="284"/>
      <c r="I194" s="324">
        <f t="shared" ref="I194" si="46">SUM(J194:M194)</f>
        <v>19037.618367999996</v>
      </c>
      <c r="J194" s="415">
        <f>(J191+J193)*16%</f>
        <v>1697.4766464000008</v>
      </c>
      <c r="K194" s="415">
        <f>(K191+K193)*16%</f>
        <v>5292.6660415999968</v>
      </c>
      <c r="L194" s="415">
        <f>(L191+L193)*16%</f>
        <v>2219.6516416000018</v>
      </c>
      <c r="M194" s="416">
        <f>(M191+M193)*16%</f>
        <v>9827.8240383999982</v>
      </c>
      <c r="N194" s="88">
        <f>(N191+N193)*16%</f>
        <v>0</v>
      </c>
    </row>
    <row r="195" spans="1:14" x14ac:dyDescent="0.2">
      <c r="A195" s="326" t="s">
        <v>134</v>
      </c>
      <c r="B195" s="330"/>
      <c r="C195" s="331"/>
      <c r="D195" s="1043" t="s">
        <v>422</v>
      </c>
      <c r="E195" s="1044"/>
      <c r="F195" s="338"/>
      <c r="G195" s="339">
        <v>149</v>
      </c>
      <c r="H195" s="339"/>
      <c r="I195" s="340"/>
      <c r="J195" s="340">
        <v>0</v>
      </c>
      <c r="K195" s="340">
        <v>0</v>
      </c>
      <c r="L195" s="340">
        <v>0</v>
      </c>
      <c r="M195" s="373">
        <v>0</v>
      </c>
      <c r="N195" s="381"/>
    </row>
    <row r="196" spans="1:14" x14ac:dyDescent="0.2">
      <c r="A196" s="327" t="s">
        <v>141</v>
      </c>
      <c r="B196" s="332"/>
      <c r="C196" s="333"/>
      <c r="D196" s="1035" t="s">
        <v>423</v>
      </c>
      <c r="E196" s="1036"/>
      <c r="F196" s="325"/>
      <c r="G196" s="121">
        <v>150</v>
      </c>
      <c r="H196" s="121"/>
      <c r="I196" s="122">
        <f>SUM(J196:M196)</f>
        <v>320000</v>
      </c>
      <c r="J196" s="122"/>
      <c r="K196" s="122"/>
      <c r="L196" s="122"/>
      <c r="M196" s="374">
        <v>320000</v>
      </c>
      <c r="N196" s="382"/>
    </row>
    <row r="197" spans="1:14" x14ac:dyDescent="0.2">
      <c r="A197" s="328" t="s">
        <v>143</v>
      </c>
      <c r="B197" s="334"/>
      <c r="C197" s="335"/>
      <c r="D197" s="1037" t="s">
        <v>424</v>
      </c>
      <c r="E197" s="1038"/>
      <c r="F197" s="471"/>
      <c r="G197" s="251">
        <v>151</v>
      </c>
      <c r="H197" s="251"/>
      <c r="I197" s="252"/>
      <c r="J197" s="252"/>
      <c r="K197" s="252"/>
      <c r="L197" s="252"/>
      <c r="M197" s="375"/>
      <c r="N197" s="383"/>
    </row>
    <row r="198" spans="1:14" ht="22.5" customHeight="1" thickBot="1" x14ac:dyDescent="0.25">
      <c r="A198" s="329" t="s">
        <v>150</v>
      </c>
      <c r="B198" s="336"/>
      <c r="C198" s="337"/>
      <c r="D198" s="1039" t="s">
        <v>425</v>
      </c>
      <c r="E198" s="1040"/>
      <c r="F198" s="341"/>
      <c r="G198" s="342">
        <v>152</v>
      </c>
      <c r="H198" s="342"/>
      <c r="I198" s="343"/>
      <c r="J198" s="343"/>
      <c r="K198" s="343"/>
      <c r="L198" s="343"/>
      <c r="M198" s="376"/>
      <c r="N198" s="384"/>
    </row>
  </sheetData>
  <mergeCells count="121">
    <mergeCell ref="D196:E196"/>
    <mergeCell ref="D197:E197"/>
    <mergeCell ref="D198:E198"/>
    <mergeCell ref="D186:E186"/>
    <mergeCell ref="D189:E189"/>
    <mergeCell ref="D190:E190"/>
    <mergeCell ref="D191:E191"/>
    <mergeCell ref="D194:E194"/>
    <mergeCell ref="D195:E195"/>
    <mergeCell ref="D169:E169"/>
    <mergeCell ref="A170:A190"/>
    <mergeCell ref="B170:B173"/>
    <mergeCell ref="D170:E170"/>
    <mergeCell ref="D171:E171"/>
    <mergeCell ref="D172:E172"/>
    <mergeCell ref="D173:E173"/>
    <mergeCell ref="D182:E182"/>
    <mergeCell ref="B183:B189"/>
    <mergeCell ref="D183:E183"/>
    <mergeCell ref="A120:A169"/>
    <mergeCell ref="B120:B169"/>
    <mergeCell ref="D163:E163"/>
    <mergeCell ref="D164:E164"/>
    <mergeCell ref="C165:E165"/>
    <mergeCell ref="D166:E166"/>
    <mergeCell ref="D167:E167"/>
    <mergeCell ref="D168:E168"/>
    <mergeCell ref="D157:E157"/>
    <mergeCell ref="D158:E158"/>
    <mergeCell ref="D159:E159"/>
    <mergeCell ref="D160:E160"/>
    <mergeCell ref="D161:E161"/>
    <mergeCell ref="D162:E162"/>
    <mergeCell ref="D147:E147"/>
    <mergeCell ref="D148:E148"/>
    <mergeCell ref="D149:E149"/>
    <mergeCell ref="C150:C156"/>
    <mergeCell ref="D150:E150"/>
    <mergeCell ref="D153:E153"/>
    <mergeCell ref="D156:E156"/>
    <mergeCell ref="D141:E141"/>
    <mergeCell ref="D142:E142"/>
    <mergeCell ref="D143:E143"/>
    <mergeCell ref="D144:E144"/>
    <mergeCell ref="D145:E145"/>
    <mergeCell ref="D146:E146"/>
    <mergeCell ref="C134:C136"/>
    <mergeCell ref="D134:E134"/>
    <mergeCell ref="D135:E135"/>
    <mergeCell ref="D136:E136"/>
    <mergeCell ref="D137:E137"/>
    <mergeCell ref="D138:E138"/>
    <mergeCell ref="D117:E117"/>
    <mergeCell ref="D118:E118"/>
    <mergeCell ref="D119:E119"/>
    <mergeCell ref="D120:E120"/>
    <mergeCell ref="D121:E121"/>
    <mergeCell ref="C131:E131"/>
    <mergeCell ref="D132:E132"/>
    <mergeCell ref="D133:E133"/>
    <mergeCell ref="D65:E65"/>
    <mergeCell ref="D66:E66"/>
    <mergeCell ref="D70:E70"/>
    <mergeCell ref="D99:E99"/>
    <mergeCell ref="D100:E100"/>
    <mergeCell ref="D101:E101"/>
    <mergeCell ref="D110:E110"/>
    <mergeCell ref="C115:E115"/>
    <mergeCell ref="D116:E116"/>
    <mergeCell ref="D93:E93"/>
    <mergeCell ref="D94:E94"/>
    <mergeCell ref="D95:E95"/>
    <mergeCell ref="D96:E96"/>
    <mergeCell ref="D97:E97"/>
    <mergeCell ref="D98:E98"/>
    <mergeCell ref="A71:A119"/>
    <mergeCell ref="B71:B119"/>
    <mergeCell ref="D74:E74"/>
    <mergeCell ref="D75:E75"/>
    <mergeCell ref="D76:E76"/>
    <mergeCell ref="D40:E40"/>
    <mergeCell ref="B41:E41"/>
    <mergeCell ref="A42:A70"/>
    <mergeCell ref="C42:E42"/>
    <mergeCell ref="B43:B70"/>
    <mergeCell ref="C43:E43"/>
    <mergeCell ref="D44:E44"/>
    <mergeCell ref="D45:E45"/>
    <mergeCell ref="D46:E46"/>
    <mergeCell ref="D57:E57"/>
    <mergeCell ref="A11:A40"/>
    <mergeCell ref="D77:E77"/>
    <mergeCell ref="D78:E78"/>
    <mergeCell ref="D79:E79"/>
    <mergeCell ref="D86:E86"/>
    <mergeCell ref="D91:E91"/>
    <mergeCell ref="D92:E92"/>
    <mergeCell ref="D58:E58"/>
    <mergeCell ref="D64:E64"/>
    <mergeCell ref="A2:D2"/>
    <mergeCell ref="A3:D3"/>
    <mergeCell ref="E4:J4"/>
    <mergeCell ref="E5:J5"/>
    <mergeCell ref="A8:B8"/>
    <mergeCell ref="D26:E26"/>
    <mergeCell ref="D34:E34"/>
    <mergeCell ref="B35:B39"/>
    <mergeCell ref="D35:E35"/>
    <mergeCell ref="D36:E36"/>
    <mergeCell ref="D37:E37"/>
    <mergeCell ref="D38:E38"/>
    <mergeCell ref="D39:E39"/>
    <mergeCell ref="B10:E10"/>
    <mergeCell ref="C11:E11"/>
    <mergeCell ref="B12:B25"/>
    <mergeCell ref="D12:E12"/>
    <mergeCell ref="D20:E20"/>
    <mergeCell ref="D21:E21"/>
    <mergeCell ref="C22:C23"/>
    <mergeCell ref="D24:E24"/>
    <mergeCell ref="D25:E2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8"/>
  <sheetViews>
    <sheetView topLeftCell="A133" workbookViewId="0">
      <selection activeCell="I139" sqref="I139:M139"/>
    </sheetView>
  </sheetViews>
  <sheetFormatPr defaultRowHeight="12.75" x14ac:dyDescent="0.2"/>
  <cols>
    <col min="1" max="1" width="3.42578125" bestFit="1" customWidth="1"/>
    <col min="2" max="2" width="1.85546875" bestFit="1" customWidth="1"/>
    <col min="3" max="3" width="3" bestFit="1" customWidth="1"/>
    <col min="4" max="4" width="4.7109375" bestFit="1" customWidth="1"/>
    <col min="5" max="5" width="48" customWidth="1"/>
    <col min="6" max="6" width="15.85546875" customWidth="1"/>
    <col min="7" max="7" width="4.42578125" bestFit="1" customWidth="1"/>
    <col min="8" max="8" width="7.28515625" customWidth="1"/>
    <col min="9" max="12" width="10.42578125" bestFit="1" customWidth="1"/>
    <col min="13" max="13" width="8.7109375" bestFit="1" customWidth="1"/>
    <col min="14" max="14" width="11.7109375" customWidth="1"/>
  </cols>
  <sheetData>
    <row r="1" spans="1:14" x14ac:dyDescent="0.2">
      <c r="A1" s="938" t="s">
        <v>0</v>
      </c>
      <c r="B1" s="938"/>
      <c r="C1" s="938"/>
      <c r="D1" s="938"/>
      <c r="E1" s="27" t="s">
        <v>673</v>
      </c>
    </row>
    <row r="2" spans="1:14" x14ac:dyDescent="0.2">
      <c r="A2" s="938"/>
      <c r="B2" s="938"/>
      <c r="C2" s="938"/>
      <c r="D2" s="938"/>
      <c r="E2" s="272"/>
      <c r="F2" s="272"/>
      <c r="G2" s="51"/>
      <c r="H2" s="51"/>
      <c r="I2" s="51"/>
      <c r="J2" s="51"/>
      <c r="K2" s="53" t="s">
        <v>11</v>
      </c>
      <c r="L2" s="51"/>
      <c r="M2" s="51"/>
    </row>
    <row r="3" spans="1:14" x14ac:dyDescent="0.2">
      <c r="A3" s="938"/>
      <c r="B3" s="938"/>
      <c r="C3" s="938"/>
      <c r="D3" s="938"/>
      <c r="E3" s="272"/>
      <c r="F3" s="272"/>
      <c r="G3" s="51"/>
      <c r="H3" s="51"/>
      <c r="I3" s="51"/>
      <c r="J3" s="51"/>
      <c r="K3" s="51"/>
      <c r="L3" s="51"/>
      <c r="M3" s="51"/>
    </row>
    <row r="4" spans="1:14" x14ac:dyDescent="0.2">
      <c r="A4" s="272"/>
      <c r="B4" s="272"/>
      <c r="C4" s="272"/>
      <c r="D4" s="51"/>
      <c r="E4" s="1047" t="s">
        <v>3</v>
      </c>
      <c r="F4" s="1047"/>
      <c r="G4" s="1047"/>
      <c r="H4" s="1047"/>
      <c r="I4" s="1047"/>
      <c r="J4" s="1047"/>
      <c r="K4" s="83"/>
      <c r="L4" s="83"/>
      <c r="M4" s="51">
        <v>1000</v>
      </c>
    </row>
    <row r="5" spans="1:14" x14ac:dyDescent="0.2">
      <c r="A5" s="272"/>
      <c r="B5" s="272"/>
      <c r="C5" s="272"/>
      <c r="D5" s="83"/>
      <c r="E5" s="1048" t="s">
        <v>657</v>
      </c>
      <c r="F5" s="1048"/>
      <c r="G5" s="1048"/>
      <c r="H5" s="1048"/>
      <c r="I5" s="1048"/>
      <c r="J5" s="1048"/>
      <c r="K5" s="83"/>
      <c r="L5" s="51"/>
      <c r="M5" s="51"/>
    </row>
    <row r="6" spans="1:14" x14ac:dyDescent="0.2">
      <c r="A6" s="272"/>
      <c r="B6" s="272"/>
      <c r="C6" s="272"/>
      <c r="D6" s="83"/>
      <c r="E6" s="83"/>
      <c r="F6" s="83"/>
      <c r="G6" s="83"/>
      <c r="H6" s="83"/>
      <c r="I6" s="83"/>
      <c r="J6" s="83"/>
      <c r="K6" s="83"/>
      <c r="L6" s="51"/>
      <c r="M6" s="51"/>
    </row>
    <row r="7" spans="1:14" ht="13.5" thickBot="1" x14ac:dyDescent="0.25">
      <c r="A7" s="272"/>
      <c r="B7" s="272"/>
      <c r="C7" s="272"/>
      <c r="D7" s="83"/>
      <c r="E7" s="272"/>
      <c r="F7" s="272"/>
      <c r="G7" s="83"/>
      <c r="H7" s="83"/>
      <c r="I7" s="83"/>
      <c r="J7" s="83"/>
      <c r="K7" s="83"/>
      <c r="L7" s="51"/>
      <c r="M7" s="51"/>
    </row>
    <row r="8" spans="1:14" ht="30" customHeight="1" thickBot="1" x14ac:dyDescent="0.25">
      <c r="A8" s="980" t="s">
        <v>308</v>
      </c>
      <c r="B8" s="981"/>
      <c r="C8" s="84"/>
      <c r="D8" s="84"/>
      <c r="E8" s="85" t="s">
        <v>15</v>
      </c>
      <c r="F8" s="85" t="s">
        <v>551</v>
      </c>
      <c r="G8" s="84" t="s">
        <v>309</v>
      </c>
      <c r="H8" s="84"/>
      <c r="I8" s="86" t="s">
        <v>661</v>
      </c>
      <c r="J8" s="84" t="s">
        <v>310</v>
      </c>
      <c r="K8" s="84" t="s">
        <v>311</v>
      </c>
      <c r="L8" s="84" t="s">
        <v>312</v>
      </c>
      <c r="M8" s="273" t="s">
        <v>313</v>
      </c>
      <c r="N8" s="379" t="s">
        <v>658</v>
      </c>
    </row>
    <row r="9" spans="1:14" ht="13.5" thickBot="1" x14ac:dyDescent="0.25">
      <c r="A9" s="84" t="s">
        <v>30</v>
      </c>
      <c r="B9" s="84"/>
      <c r="C9" s="84"/>
      <c r="D9" s="84"/>
      <c r="E9" s="85" t="s">
        <v>4</v>
      </c>
      <c r="F9" s="281"/>
      <c r="G9" s="84" t="s">
        <v>314</v>
      </c>
      <c r="H9" s="84"/>
      <c r="I9" s="84" t="s">
        <v>21</v>
      </c>
      <c r="J9" s="84" t="s">
        <v>17</v>
      </c>
      <c r="K9" s="84" t="s">
        <v>18</v>
      </c>
      <c r="L9" s="84" t="s">
        <v>24</v>
      </c>
      <c r="M9" s="273" t="s">
        <v>19</v>
      </c>
      <c r="N9" s="377"/>
    </row>
    <row r="10" spans="1:14" ht="13.5" thickBot="1" x14ac:dyDescent="0.25">
      <c r="A10" s="87" t="s">
        <v>215</v>
      </c>
      <c r="B10" s="968" t="s">
        <v>462</v>
      </c>
      <c r="C10" s="1011"/>
      <c r="D10" s="1011"/>
      <c r="E10" s="969"/>
      <c r="F10" s="274"/>
      <c r="G10" s="87" t="s">
        <v>4</v>
      </c>
      <c r="H10" s="87"/>
      <c r="I10" s="415">
        <f t="shared" ref="I10:M10" si="0">I11+I34+I40</f>
        <v>2764796</v>
      </c>
      <c r="J10" s="415">
        <f t="shared" si="0"/>
        <v>581098</v>
      </c>
      <c r="K10" s="415">
        <f t="shared" si="0"/>
        <v>703948</v>
      </c>
      <c r="L10" s="415">
        <f t="shared" si="0"/>
        <v>807538</v>
      </c>
      <c r="M10" s="416">
        <f t="shared" si="0"/>
        <v>672212</v>
      </c>
      <c r="N10" s="88">
        <f t="shared" ref="N10" si="1">N11+N34+N40</f>
        <v>0</v>
      </c>
    </row>
    <row r="11" spans="1:14" ht="13.5" thickBot="1" x14ac:dyDescent="0.25">
      <c r="A11" s="977"/>
      <c r="B11" s="282" t="s">
        <v>4</v>
      </c>
      <c r="C11" s="1015" t="s">
        <v>113</v>
      </c>
      <c r="D11" s="1016"/>
      <c r="E11" s="1017"/>
      <c r="F11" s="283"/>
      <c r="G11" s="284">
        <f>G10+1</f>
        <v>2</v>
      </c>
      <c r="H11" s="284"/>
      <c r="I11" s="417">
        <f t="shared" ref="I11:M11" si="2">I12+I20+I21+I24+I25+I26</f>
        <v>2764792</v>
      </c>
      <c r="J11" s="417">
        <f t="shared" si="2"/>
        <v>581097</v>
      </c>
      <c r="K11" s="417">
        <f t="shared" si="2"/>
        <v>703947</v>
      </c>
      <c r="L11" s="417">
        <f t="shared" si="2"/>
        <v>807537</v>
      </c>
      <c r="M11" s="418">
        <f t="shared" si="2"/>
        <v>672211</v>
      </c>
      <c r="N11" s="285">
        <f t="shared" ref="N11" si="3">N12+N20+N21+N24+N25+N26</f>
        <v>0</v>
      </c>
    </row>
    <row r="12" spans="1:14" ht="13.5" thickBot="1" x14ac:dyDescent="0.25">
      <c r="A12" s="978"/>
      <c r="B12" s="1018"/>
      <c r="C12" s="71" t="s">
        <v>27</v>
      </c>
      <c r="D12" s="973" t="s">
        <v>315</v>
      </c>
      <c r="E12" s="974"/>
      <c r="F12" s="275">
        <v>70</v>
      </c>
      <c r="G12" s="84">
        <f>G11+1</f>
        <v>3</v>
      </c>
      <c r="H12" s="84"/>
      <c r="I12" s="405">
        <f t="shared" ref="I12:M12" si="4">I13+I14+I18+I19</f>
        <v>2469572</v>
      </c>
      <c r="J12" s="405">
        <f t="shared" si="4"/>
        <v>576775</v>
      </c>
      <c r="K12" s="405">
        <f t="shared" si="4"/>
        <v>636052</v>
      </c>
      <c r="L12" s="405">
        <f t="shared" si="4"/>
        <v>703817</v>
      </c>
      <c r="M12" s="419">
        <f t="shared" si="4"/>
        <v>552928</v>
      </c>
      <c r="N12" s="89">
        <f t="shared" ref="N12" si="5">N13+N14+N18+N19</f>
        <v>0</v>
      </c>
    </row>
    <row r="13" spans="1:14" ht="13.5" thickBot="1" x14ac:dyDescent="0.25">
      <c r="A13" s="978"/>
      <c r="B13" s="1019"/>
      <c r="C13" s="71"/>
      <c r="D13" s="71" t="s">
        <v>237</v>
      </c>
      <c r="E13" s="71" t="s">
        <v>316</v>
      </c>
      <c r="F13" s="86"/>
      <c r="G13" s="84">
        <f t="shared" ref="G13:G76" si="6">G12+1</f>
        <v>4</v>
      </c>
      <c r="H13" s="84"/>
      <c r="I13" s="405">
        <f t="shared" ref="I13:I19" si="7">SUM(J13:M13)</f>
        <v>0</v>
      </c>
      <c r="J13" s="405"/>
      <c r="K13" s="405"/>
      <c r="L13" s="405"/>
      <c r="M13" s="419"/>
      <c r="N13" s="89"/>
    </row>
    <row r="14" spans="1:14" ht="13.5" thickBot="1" x14ac:dyDescent="0.25">
      <c r="A14" s="978"/>
      <c r="B14" s="1019"/>
      <c r="C14" s="71"/>
      <c r="D14" s="71" t="s">
        <v>66</v>
      </c>
      <c r="E14" s="71" t="s">
        <v>317</v>
      </c>
      <c r="F14" s="86">
        <v>704</v>
      </c>
      <c r="G14" s="84">
        <f>G13+1</f>
        <v>5</v>
      </c>
      <c r="H14" s="84"/>
      <c r="I14" s="405">
        <f t="shared" si="7"/>
        <v>2459761</v>
      </c>
      <c r="J14" s="402">
        <v>574217</v>
      </c>
      <c r="K14" s="402">
        <v>633790</v>
      </c>
      <c r="L14" s="402">
        <v>701509</v>
      </c>
      <c r="M14" s="403">
        <v>550245</v>
      </c>
      <c r="N14" s="90">
        <f t="shared" ref="N14" si="8">SUM(N15:N17)</f>
        <v>0</v>
      </c>
    </row>
    <row r="15" spans="1:14" ht="13.5" thickBot="1" x14ac:dyDescent="0.25">
      <c r="A15" s="978"/>
      <c r="B15" s="1019"/>
      <c r="C15" s="71"/>
      <c r="D15" s="71"/>
      <c r="E15" s="71"/>
      <c r="F15" s="286" t="s">
        <v>552</v>
      </c>
      <c r="G15" s="84"/>
      <c r="H15" s="84"/>
      <c r="I15" s="405">
        <f t="shared" si="7"/>
        <v>1983964</v>
      </c>
      <c r="J15" s="402">
        <v>461888</v>
      </c>
      <c r="K15" s="402">
        <v>512504</v>
      </c>
      <c r="L15" s="402">
        <v>576872</v>
      </c>
      <c r="M15" s="403">
        <v>432700</v>
      </c>
      <c r="N15" s="91"/>
    </row>
    <row r="16" spans="1:14" ht="13.5" thickBot="1" x14ac:dyDescent="0.25">
      <c r="A16" s="978"/>
      <c r="B16" s="1019"/>
      <c r="C16" s="71"/>
      <c r="D16" s="71"/>
      <c r="E16" s="71"/>
      <c r="F16" s="286" t="s">
        <v>553</v>
      </c>
      <c r="G16" s="84"/>
      <c r="H16" s="84"/>
      <c r="I16" s="405">
        <f t="shared" si="7"/>
        <v>410687</v>
      </c>
      <c r="J16" s="402">
        <v>102005</v>
      </c>
      <c r="K16" s="402">
        <v>109115</v>
      </c>
      <c r="L16" s="402">
        <v>101665</v>
      </c>
      <c r="M16" s="403">
        <v>97902</v>
      </c>
      <c r="N16" s="91"/>
    </row>
    <row r="17" spans="1:14" ht="13.5" thickBot="1" x14ac:dyDescent="0.25">
      <c r="A17" s="978"/>
      <c r="B17" s="1019"/>
      <c r="C17" s="71"/>
      <c r="D17" s="71"/>
      <c r="E17" s="71"/>
      <c r="F17" s="286" t="s">
        <v>554</v>
      </c>
      <c r="G17" s="84"/>
      <c r="H17" s="84"/>
      <c r="I17" s="405">
        <f t="shared" si="7"/>
        <v>50874</v>
      </c>
      <c r="J17" s="402">
        <v>10324</v>
      </c>
      <c r="K17" s="402">
        <v>12171</v>
      </c>
      <c r="L17" s="402">
        <v>15844</v>
      </c>
      <c r="M17" s="403">
        <v>12535</v>
      </c>
      <c r="N17" s="91"/>
    </row>
    <row r="18" spans="1:14" ht="13.5" thickBot="1" x14ac:dyDescent="0.25">
      <c r="A18" s="978"/>
      <c r="B18" s="1019"/>
      <c r="C18" s="71"/>
      <c r="D18" s="71" t="s">
        <v>318</v>
      </c>
      <c r="E18" s="71" t="s">
        <v>319</v>
      </c>
      <c r="F18" s="86" t="s">
        <v>555</v>
      </c>
      <c r="G18" s="84">
        <f>G14+1</f>
        <v>6</v>
      </c>
      <c r="H18" s="84"/>
      <c r="I18" s="405">
        <f t="shared" si="7"/>
        <v>7993</v>
      </c>
      <c r="J18" s="402">
        <v>2018</v>
      </c>
      <c r="K18" s="402">
        <v>1988</v>
      </c>
      <c r="L18" s="402">
        <v>1989</v>
      </c>
      <c r="M18" s="403">
        <v>1998</v>
      </c>
      <c r="N18" s="289"/>
    </row>
    <row r="19" spans="1:14" ht="23.25" thickBot="1" x14ac:dyDescent="0.25">
      <c r="A19" s="978"/>
      <c r="B19" s="1019"/>
      <c r="C19" s="71"/>
      <c r="D19" s="71" t="s">
        <v>320</v>
      </c>
      <c r="E19" s="71" t="s">
        <v>321</v>
      </c>
      <c r="F19" s="86" t="s">
        <v>556</v>
      </c>
      <c r="G19" s="84">
        <f t="shared" si="6"/>
        <v>7</v>
      </c>
      <c r="H19" s="84"/>
      <c r="I19" s="405">
        <f t="shared" si="7"/>
        <v>1818</v>
      </c>
      <c r="J19" s="402">
        <v>540</v>
      </c>
      <c r="K19" s="402">
        <v>274</v>
      </c>
      <c r="L19" s="402">
        <v>319</v>
      </c>
      <c r="M19" s="403">
        <v>685</v>
      </c>
      <c r="N19" s="289"/>
    </row>
    <row r="20" spans="1:14" ht="13.5" thickBot="1" x14ac:dyDescent="0.25">
      <c r="A20" s="978"/>
      <c r="B20" s="1019"/>
      <c r="C20" s="71" t="s">
        <v>38</v>
      </c>
      <c r="D20" s="973" t="s">
        <v>322</v>
      </c>
      <c r="E20" s="974"/>
      <c r="F20" s="275"/>
      <c r="G20" s="84">
        <f t="shared" si="6"/>
        <v>8</v>
      </c>
      <c r="H20" s="84"/>
      <c r="I20" s="405"/>
      <c r="J20" s="405"/>
      <c r="K20" s="405"/>
      <c r="L20" s="405"/>
      <c r="M20" s="419"/>
      <c r="N20" s="89"/>
    </row>
    <row r="21" spans="1:14" ht="26.25" customHeight="1" thickBot="1" x14ac:dyDescent="0.25">
      <c r="A21" s="978"/>
      <c r="B21" s="1019"/>
      <c r="C21" s="71" t="s">
        <v>40</v>
      </c>
      <c r="D21" s="973" t="s">
        <v>323</v>
      </c>
      <c r="E21" s="974"/>
      <c r="F21" s="275"/>
      <c r="G21" s="84">
        <f t="shared" si="6"/>
        <v>9</v>
      </c>
      <c r="H21" s="84"/>
      <c r="I21" s="405">
        <f t="shared" ref="I21:M21" si="9">I22+I23</f>
        <v>0</v>
      </c>
      <c r="J21" s="405">
        <f t="shared" si="9"/>
        <v>0</v>
      </c>
      <c r="K21" s="405">
        <f t="shared" si="9"/>
        <v>0</v>
      </c>
      <c r="L21" s="405">
        <f t="shared" si="9"/>
        <v>0</v>
      </c>
      <c r="M21" s="419">
        <f t="shared" si="9"/>
        <v>0</v>
      </c>
      <c r="N21" s="89">
        <f t="shared" ref="N21" si="10">N22+N23</f>
        <v>0</v>
      </c>
    </row>
    <row r="22" spans="1:14" ht="23.25" thickBot="1" x14ac:dyDescent="0.25">
      <c r="A22" s="978"/>
      <c r="B22" s="1019"/>
      <c r="C22" s="1018"/>
      <c r="D22" s="71" t="s">
        <v>324</v>
      </c>
      <c r="E22" s="71" t="s">
        <v>325</v>
      </c>
      <c r="F22" s="86" t="s">
        <v>557</v>
      </c>
      <c r="G22" s="84">
        <f t="shared" si="6"/>
        <v>10</v>
      </c>
      <c r="H22" s="84"/>
      <c r="I22" s="405">
        <f>SUM(J22:M22)</f>
        <v>0</v>
      </c>
      <c r="J22" s="405"/>
      <c r="K22" s="405"/>
      <c r="L22" s="405"/>
      <c r="M22" s="419"/>
      <c r="N22" s="378"/>
    </row>
    <row r="23" spans="1:14" ht="13.5" thickBot="1" x14ac:dyDescent="0.25">
      <c r="A23" s="978"/>
      <c r="B23" s="1019"/>
      <c r="C23" s="1020"/>
      <c r="D23" s="71" t="s">
        <v>67</v>
      </c>
      <c r="E23" s="71" t="s">
        <v>32</v>
      </c>
      <c r="F23" s="86"/>
      <c r="G23" s="84">
        <f t="shared" si="6"/>
        <v>11</v>
      </c>
      <c r="H23" s="84"/>
      <c r="I23" s="405">
        <f>SUM(J23:M23)</f>
        <v>0</v>
      </c>
      <c r="J23" s="405"/>
      <c r="K23" s="405"/>
      <c r="L23" s="405"/>
      <c r="M23" s="419"/>
      <c r="N23" s="378"/>
    </row>
    <row r="24" spans="1:14" ht="23.25" thickBot="1" x14ac:dyDescent="0.25">
      <c r="A24" s="978"/>
      <c r="B24" s="1019"/>
      <c r="C24" s="71" t="s">
        <v>42</v>
      </c>
      <c r="D24" s="973" t="s">
        <v>326</v>
      </c>
      <c r="E24" s="974"/>
      <c r="F24" s="275" t="s">
        <v>558</v>
      </c>
      <c r="G24" s="84">
        <f t="shared" si="6"/>
        <v>12</v>
      </c>
      <c r="H24" s="84"/>
      <c r="I24" s="402">
        <f>SUM(J24:M24)</f>
        <v>280000</v>
      </c>
      <c r="J24" s="402"/>
      <c r="K24" s="402">
        <v>65000</v>
      </c>
      <c r="L24" s="402">
        <v>100000</v>
      </c>
      <c r="M24" s="403">
        <v>115000</v>
      </c>
      <c r="N24" s="378"/>
    </row>
    <row r="25" spans="1:14" ht="13.5" thickBot="1" x14ac:dyDescent="0.25">
      <c r="A25" s="978"/>
      <c r="B25" s="1020"/>
      <c r="C25" s="71" t="s">
        <v>28</v>
      </c>
      <c r="D25" s="973" t="s">
        <v>327</v>
      </c>
      <c r="E25" s="974"/>
      <c r="F25" s="275"/>
      <c r="G25" s="84">
        <f t="shared" si="6"/>
        <v>13</v>
      </c>
      <c r="H25" s="84"/>
      <c r="I25" s="402"/>
      <c r="J25" s="402"/>
      <c r="K25" s="402"/>
      <c r="L25" s="402"/>
      <c r="M25" s="403"/>
      <c r="N25" s="378"/>
    </row>
    <row r="26" spans="1:14" ht="25.5" customHeight="1" thickBot="1" x14ac:dyDescent="0.25">
      <c r="A26" s="978"/>
      <c r="B26" s="71"/>
      <c r="C26" s="71" t="s">
        <v>34</v>
      </c>
      <c r="D26" s="973" t="s">
        <v>328</v>
      </c>
      <c r="E26" s="974"/>
      <c r="F26" s="275"/>
      <c r="G26" s="84">
        <f>G25+1</f>
        <v>14</v>
      </c>
      <c r="H26" s="84"/>
      <c r="I26" s="402">
        <f t="shared" ref="I26:M26" si="11">I27+I28+I31+I32+I33</f>
        <v>15220</v>
      </c>
      <c r="J26" s="402">
        <f t="shared" si="11"/>
        <v>4322</v>
      </c>
      <c r="K26" s="402">
        <f t="shared" si="11"/>
        <v>2895</v>
      </c>
      <c r="L26" s="402">
        <f t="shared" si="11"/>
        <v>3720</v>
      </c>
      <c r="M26" s="403">
        <f t="shared" si="11"/>
        <v>4283</v>
      </c>
      <c r="N26" s="93">
        <f t="shared" ref="N26" si="12">N27+N28+N31+N32+N33</f>
        <v>0</v>
      </c>
    </row>
    <row r="27" spans="1:14" ht="34.5" thickBot="1" x14ac:dyDescent="0.25">
      <c r="A27" s="978"/>
      <c r="B27" s="71"/>
      <c r="C27" s="71"/>
      <c r="D27" s="71" t="s">
        <v>329</v>
      </c>
      <c r="E27" s="71" t="s">
        <v>330</v>
      </c>
      <c r="F27" s="86" t="s">
        <v>559</v>
      </c>
      <c r="G27" s="84">
        <f t="shared" si="6"/>
        <v>15</v>
      </c>
      <c r="H27" s="84"/>
      <c r="I27" s="402">
        <f>SUM(J27:M27)</f>
        <v>14820</v>
      </c>
      <c r="J27" s="402">
        <v>4272</v>
      </c>
      <c r="K27" s="402">
        <v>2795</v>
      </c>
      <c r="L27" s="402">
        <v>3570</v>
      </c>
      <c r="M27" s="403">
        <v>4183</v>
      </c>
      <c r="N27" s="378"/>
    </row>
    <row r="28" spans="1:14" ht="23.25" thickBot="1" x14ac:dyDescent="0.25">
      <c r="A28" s="978"/>
      <c r="B28" s="71"/>
      <c r="C28" s="71"/>
      <c r="D28" s="71" t="s">
        <v>52</v>
      </c>
      <c r="E28" s="71" t="s">
        <v>331</v>
      </c>
      <c r="F28" s="86"/>
      <c r="G28" s="84">
        <f t="shared" si="6"/>
        <v>16</v>
      </c>
      <c r="H28" s="84"/>
      <c r="I28" s="402">
        <f t="shared" ref="I28:M28" si="13">SUM(I29:I30)</f>
        <v>0</v>
      </c>
      <c r="J28" s="402">
        <f t="shared" si="13"/>
        <v>0</v>
      </c>
      <c r="K28" s="402">
        <f t="shared" si="13"/>
        <v>0</v>
      </c>
      <c r="L28" s="402">
        <f t="shared" si="13"/>
        <v>0</v>
      </c>
      <c r="M28" s="403">
        <f t="shared" si="13"/>
        <v>0</v>
      </c>
      <c r="N28" s="93">
        <f t="shared" ref="N28" si="14">SUM(N29:N30)</f>
        <v>0</v>
      </c>
    </row>
    <row r="29" spans="1:14" ht="23.25" thickBot="1" x14ac:dyDescent="0.25">
      <c r="A29" s="978"/>
      <c r="B29" s="71"/>
      <c r="C29" s="71"/>
      <c r="D29" s="71"/>
      <c r="E29" s="71" t="s">
        <v>332</v>
      </c>
      <c r="F29" s="86" t="s">
        <v>560</v>
      </c>
      <c r="G29" s="84">
        <f t="shared" si="6"/>
        <v>17</v>
      </c>
      <c r="H29" s="84"/>
      <c r="I29" s="420">
        <f>SUM(J29:M29)</f>
        <v>0</v>
      </c>
      <c r="J29" s="402">
        <v>0</v>
      </c>
      <c r="K29" s="402">
        <v>0</v>
      </c>
      <c r="L29" s="402">
        <v>0</v>
      </c>
      <c r="M29" s="403">
        <v>0</v>
      </c>
      <c r="N29" s="93">
        <v>0</v>
      </c>
    </row>
    <row r="30" spans="1:14" ht="23.25" thickBot="1" x14ac:dyDescent="0.25">
      <c r="A30" s="978"/>
      <c r="B30" s="71"/>
      <c r="C30" s="71"/>
      <c r="D30" s="71"/>
      <c r="E30" s="71" t="s">
        <v>333</v>
      </c>
      <c r="F30" s="86" t="s">
        <v>561</v>
      </c>
      <c r="G30" s="84">
        <f t="shared" si="6"/>
        <v>18</v>
      </c>
      <c r="H30" s="84"/>
      <c r="I30" s="420">
        <f>SUM(J30:M30)</f>
        <v>0</v>
      </c>
      <c r="J30" s="402"/>
      <c r="K30" s="402"/>
      <c r="L30" s="402"/>
      <c r="M30" s="403"/>
      <c r="N30" s="93"/>
    </row>
    <row r="31" spans="1:14" ht="23.25" thickBot="1" x14ac:dyDescent="0.25">
      <c r="A31" s="978"/>
      <c r="B31" s="102"/>
      <c r="C31" s="102"/>
      <c r="D31" s="102" t="s">
        <v>53</v>
      </c>
      <c r="E31" s="102" t="s">
        <v>334</v>
      </c>
      <c r="F31" s="290" t="s">
        <v>562</v>
      </c>
      <c r="G31" s="84">
        <f t="shared" si="6"/>
        <v>19</v>
      </c>
      <c r="H31" s="84"/>
      <c r="I31" s="420">
        <f>SUM(J31:M31)</f>
        <v>0</v>
      </c>
      <c r="J31" s="420">
        <v>0</v>
      </c>
      <c r="K31" s="420">
        <v>0</v>
      </c>
      <c r="L31" s="420">
        <v>0</v>
      </c>
      <c r="M31" s="421">
        <v>0</v>
      </c>
      <c r="N31" s="94">
        <v>0</v>
      </c>
    </row>
    <row r="32" spans="1:14" ht="13.5" thickBot="1" x14ac:dyDescent="0.25">
      <c r="A32" s="978"/>
      <c r="B32" s="102"/>
      <c r="C32" s="102"/>
      <c r="D32" s="102" t="s">
        <v>54</v>
      </c>
      <c r="E32" s="102" t="s">
        <v>335</v>
      </c>
      <c r="F32" s="290"/>
      <c r="G32" s="84">
        <f t="shared" si="6"/>
        <v>20</v>
      </c>
      <c r="H32" s="84"/>
      <c r="I32" s="420">
        <f>SUM(J32:M32)</f>
        <v>0</v>
      </c>
      <c r="J32" s="420"/>
      <c r="K32" s="420"/>
      <c r="L32" s="420"/>
      <c r="M32" s="421"/>
      <c r="N32" s="378"/>
    </row>
    <row r="33" spans="1:14" ht="13.5" thickBot="1" x14ac:dyDescent="0.25">
      <c r="A33" s="978"/>
      <c r="B33" s="102"/>
      <c r="C33" s="102"/>
      <c r="D33" s="102" t="s">
        <v>55</v>
      </c>
      <c r="E33" s="102" t="s">
        <v>321</v>
      </c>
      <c r="F33" s="290" t="s">
        <v>563</v>
      </c>
      <c r="G33" s="84">
        <f t="shared" si="6"/>
        <v>21</v>
      </c>
      <c r="H33" s="84"/>
      <c r="I33" s="420">
        <f>SUM(J33:M33)</f>
        <v>400</v>
      </c>
      <c r="J33" s="420">
        <v>50</v>
      </c>
      <c r="K33" s="420">
        <v>100</v>
      </c>
      <c r="L33" s="420">
        <v>150</v>
      </c>
      <c r="M33" s="421">
        <v>100</v>
      </c>
      <c r="N33" s="378"/>
    </row>
    <row r="34" spans="1:14" ht="19.5" customHeight="1" thickBot="1" x14ac:dyDescent="0.25">
      <c r="A34" s="978"/>
      <c r="B34" s="282" t="s">
        <v>21</v>
      </c>
      <c r="C34" s="282"/>
      <c r="D34" s="1015" t="s">
        <v>336</v>
      </c>
      <c r="E34" s="1017"/>
      <c r="F34" s="283"/>
      <c r="G34" s="284">
        <f t="shared" si="6"/>
        <v>22</v>
      </c>
      <c r="H34" s="284"/>
      <c r="I34" s="422">
        <f t="shared" ref="I34:M34" si="15">I35+I36+I37+I38+I39</f>
        <v>4</v>
      </c>
      <c r="J34" s="422">
        <f t="shared" si="15"/>
        <v>1</v>
      </c>
      <c r="K34" s="422">
        <f t="shared" si="15"/>
        <v>1</v>
      </c>
      <c r="L34" s="422">
        <f t="shared" si="15"/>
        <v>1</v>
      </c>
      <c r="M34" s="423">
        <f t="shared" si="15"/>
        <v>1</v>
      </c>
      <c r="N34" s="291">
        <f t="shared" ref="N34" si="16">N35+N36+N37+N38+N39</f>
        <v>0</v>
      </c>
    </row>
    <row r="35" spans="1:14" ht="13.5" thickBot="1" x14ac:dyDescent="0.25">
      <c r="A35" s="978"/>
      <c r="B35" s="1018"/>
      <c r="C35" s="71" t="s">
        <v>27</v>
      </c>
      <c r="D35" s="973" t="s">
        <v>337</v>
      </c>
      <c r="E35" s="974"/>
      <c r="F35" s="275"/>
      <c r="G35" s="84">
        <f t="shared" si="6"/>
        <v>23</v>
      </c>
      <c r="H35" s="84"/>
      <c r="I35" s="402">
        <f t="shared" ref="I35:I40" si="17">SUM(J35:M35)</f>
        <v>0</v>
      </c>
      <c r="J35" s="402"/>
      <c r="K35" s="402"/>
      <c r="L35" s="402"/>
      <c r="M35" s="403"/>
      <c r="N35" s="93"/>
    </row>
    <row r="36" spans="1:14" ht="13.5" thickBot="1" x14ac:dyDescent="0.25">
      <c r="A36" s="978"/>
      <c r="B36" s="1019"/>
      <c r="C36" s="71" t="s">
        <v>38</v>
      </c>
      <c r="D36" s="973" t="s">
        <v>338</v>
      </c>
      <c r="E36" s="974"/>
      <c r="F36" s="275"/>
      <c r="G36" s="84">
        <f t="shared" si="6"/>
        <v>24</v>
      </c>
      <c r="H36" s="84"/>
      <c r="I36" s="402">
        <f t="shared" si="17"/>
        <v>0</v>
      </c>
      <c r="J36" s="402"/>
      <c r="K36" s="402"/>
      <c r="L36" s="402"/>
      <c r="M36" s="403"/>
      <c r="N36" s="93"/>
    </row>
    <row r="37" spans="1:14" ht="25.5" customHeight="1" thickBot="1" x14ac:dyDescent="0.25">
      <c r="A37" s="978"/>
      <c r="B37" s="1019"/>
      <c r="C37" s="71" t="s">
        <v>40</v>
      </c>
      <c r="D37" s="973" t="s">
        <v>339</v>
      </c>
      <c r="E37" s="974"/>
      <c r="F37" s="275" t="s">
        <v>564</v>
      </c>
      <c r="G37" s="84">
        <f t="shared" si="6"/>
        <v>25</v>
      </c>
      <c r="H37" s="84"/>
      <c r="I37" s="420">
        <f t="shared" si="17"/>
        <v>0</v>
      </c>
      <c r="J37" s="402"/>
      <c r="K37" s="402"/>
      <c r="L37" s="402"/>
      <c r="M37" s="403"/>
      <c r="N37" s="93"/>
    </row>
    <row r="38" spans="1:14" ht="25.5" customHeight="1" thickBot="1" x14ac:dyDescent="0.25">
      <c r="A38" s="978"/>
      <c r="B38" s="1019"/>
      <c r="C38" s="71" t="s">
        <v>42</v>
      </c>
      <c r="D38" s="973" t="s">
        <v>340</v>
      </c>
      <c r="E38" s="974"/>
      <c r="F38" s="275" t="s">
        <v>565</v>
      </c>
      <c r="G38" s="84">
        <f t="shared" si="6"/>
        <v>26</v>
      </c>
      <c r="H38" s="84"/>
      <c r="I38" s="402">
        <f t="shared" si="17"/>
        <v>4</v>
      </c>
      <c r="J38" s="402">
        <v>1</v>
      </c>
      <c r="K38" s="402">
        <v>1</v>
      </c>
      <c r="L38" s="402">
        <v>1</v>
      </c>
      <c r="M38" s="403">
        <v>1</v>
      </c>
      <c r="N38" s="93"/>
    </row>
    <row r="39" spans="1:14" ht="13.5" thickBot="1" x14ac:dyDescent="0.25">
      <c r="A39" s="978"/>
      <c r="B39" s="1020"/>
      <c r="C39" s="71" t="s">
        <v>28</v>
      </c>
      <c r="D39" s="973" t="s">
        <v>341</v>
      </c>
      <c r="E39" s="974"/>
      <c r="F39" s="275" t="s">
        <v>566</v>
      </c>
      <c r="G39" s="84">
        <f t="shared" si="6"/>
        <v>27</v>
      </c>
      <c r="H39" s="84"/>
      <c r="I39" s="402">
        <f t="shared" si="17"/>
        <v>0</v>
      </c>
      <c r="J39" s="402"/>
      <c r="K39" s="402"/>
      <c r="L39" s="402"/>
      <c r="M39" s="403"/>
      <c r="N39" s="93"/>
    </row>
    <row r="40" spans="1:14" ht="13.5" thickBot="1" x14ac:dyDescent="0.25">
      <c r="A40" s="979"/>
      <c r="B40" s="71" t="s">
        <v>17</v>
      </c>
      <c r="C40" s="71"/>
      <c r="D40" s="973" t="s">
        <v>115</v>
      </c>
      <c r="E40" s="974"/>
      <c r="F40" s="275"/>
      <c r="G40" s="84">
        <f t="shared" si="6"/>
        <v>28</v>
      </c>
      <c r="H40" s="84"/>
      <c r="I40" s="402">
        <f t="shared" si="17"/>
        <v>0</v>
      </c>
      <c r="J40" s="402"/>
      <c r="K40" s="402"/>
      <c r="L40" s="402"/>
      <c r="M40" s="403"/>
      <c r="N40" s="93"/>
    </row>
    <row r="41" spans="1:14" ht="13.5" thickBot="1" x14ac:dyDescent="0.25">
      <c r="A41" s="87" t="s">
        <v>23</v>
      </c>
      <c r="B41" s="1023" t="s">
        <v>463</v>
      </c>
      <c r="C41" s="1024"/>
      <c r="D41" s="1024"/>
      <c r="E41" s="1025"/>
      <c r="F41" s="292"/>
      <c r="G41" s="284">
        <f t="shared" si="6"/>
        <v>29</v>
      </c>
      <c r="H41" s="284"/>
      <c r="I41" s="415">
        <f t="shared" ref="I41:M41" si="18">I42+I182+I190</f>
        <v>2516834.9869200001</v>
      </c>
      <c r="J41" s="415">
        <f t="shared" si="18"/>
        <v>571979.6568</v>
      </c>
      <c r="K41" s="415">
        <f t="shared" si="18"/>
        <v>691134.69036000001</v>
      </c>
      <c r="L41" s="415">
        <f t="shared" si="18"/>
        <v>598724.95591999998</v>
      </c>
      <c r="M41" s="416">
        <f t="shared" si="18"/>
        <v>654995.68384000007</v>
      </c>
      <c r="N41" s="88">
        <f t="shared" ref="N41" si="19">N42+N182+N190</f>
        <v>0</v>
      </c>
    </row>
    <row r="42" spans="1:14" ht="21" customHeight="1" thickBot="1" x14ac:dyDescent="0.25">
      <c r="A42" s="977"/>
      <c r="B42" s="293" t="s">
        <v>4</v>
      </c>
      <c r="C42" s="1026" t="s">
        <v>464</v>
      </c>
      <c r="D42" s="1027"/>
      <c r="E42" s="1028"/>
      <c r="F42" s="277"/>
      <c r="G42" s="97">
        <f t="shared" si="6"/>
        <v>30</v>
      </c>
      <c r="H42" s="97"/>
      <c r="I42" s="424">
        <f t="shared" ref="I42:M42" si="20">I43+I115+I131+I165</f>
        <v>2516834.9869200001</v>
      </c>
      <c r="J42" s="424">
        <f t="shared" si="20"/>
        <v>571979.6568</v>
      </c>
      <c r="K42" s="424">
        <f t="shared" si="20"/>
        <v>691134.69036000001</v>
      </c>
      <c r="L42" s="424">
        <f t="shared" si="20"/>
        <v>598724.95591999998</v>
      </c>
      <c r="M42" s="425">
        <f t="shared" si="20"/>
        <v>654995.68384000007</v>
      </c>
      <c r="N42" s="98">
        <f t="shared" ref="N42" si="21">N43+N115+N131+N165</f>
        <v>0</v>
      </c>
    </row>
    <row r="43" spans="1:14" ht="22.5" customHeight="1" thickBot="1" x14ac:dyDescent="0.25">
      <c r="A43" s="978"/>
      <c r="B43" s="1029"/>
      <c r="C43" s="1026" t="s">
        <v>473</v>
      </c>
      <c r="D43" s="1027"/>
      <c r="E43" s="1028"/>
      <c r="F43" s="277"/>
      <c r="G43" s="97">
        <f t="shared" si="6"/>
        <v>31</v>
      </c>
      <c r="H43" s="97"/>
      <c r="I43" s="424">
        <f t="shared" ref="I43:M43" si="22">I44+I65+I75</f>
        <v>1070235</v>
      </c>
      <c r="J43" s="424">
        <f t="shared" si="22"/>
        <v>260015</v>
      </c>
      <c r="K43" s="424">
        <f t="shared" si="22"/>
        <v>261915</v>
      </c>
      <c r="L43" s="424">
        <f t="shared" si="22"/>
        <v>269215</v>
      </c>
      <c r="M43" s="425">
        <f t="shared" si="22"/>
        <v>279090</v>
      </c>
      <c r="N43" s="98">
        <f t="shared" ref="N43" si="23">N44+N65+N75</f>
        <v>0</v>
      </c>
    </row>
    <row r="44" spans="1:14" ht="13.5" thickBot="1" x14ac:dyDescent="0.25">
      <c r="A44" s="978"/>
      <c r="B44" s="1030"/>
      <c r="C44" s="294" t="s">
        <v>265</v>
      </c>
      <c r="D44" s="986" t="s">
        <v>342</v>
      </c>
      <c r="E44" s="988"/>
      <c r="F44" s="276"/>
      <c r="G44" s="97">
        <f t="shared" si="6"/>
        <v>32</v>
      </c>
      <c r="H44" s="97"/>
      <c r="I44" s="426">
        <f t="shared" ref="I44:M44" si="24">I45+I46+I57+I58+I64</f>
        <v>804700</v>
      </c>
      <c r="J44" s="426">
        <f t="shared" si="24"/>
        <v>195300</v>
      </c>
      <c r="K44" s="426">
        <f t="shared" si="24"/>
        <v>196400</v>
      </c>
      <c r="L44" s="426">
        <f t="shared" si="24"/>
        <v>202625</v>
      </c>
      <c r="M44" s="427">
        <f t="shared" si="24"/>
        <v>210375</v>
      </c>
      <c r="N44" s="100">
        <f t="shared" ref="N44" si="25">N45+N46+N57+N58+N64</f>
        <v>0</v>
      </c>
    </row>
    <row r="45" spans="1:14" ht="13.5" thickBot="1" x14ac:dyDescent="0.25">
      <c r="A45" s="978"/>
      <c r="B45" s="1030"/>
      <c r="C45" s="71" t="s">
        <v>27</v>
      </c>
      <c r="D45" s="973" t="s">
        <v>227</v>
      </c>
      <c r="E45" s="974"/>
      <c r="F45" s="275" t="s">
        <v>567</v>
      </c>
      <c r="G45" s="84">
        <f t="shared" si="6"/>
        <v>33</v>
      </c>
      <c r="H45" s="84"/>
      <c r="I45" s="405">
        <f t="shared" ref="I45:I63" si="26">SUM(J45:M45)</f>
        <v>4400</v>
      </c>
      <c r="J45" s="405">
        <v>1100</v>
      </c>
      <c r="K45" s="405">
        <v>1100</v>
      </c>
      <c r="L45" s="405">
        <v>1100</v>
      </c>
      <c r="M45" s="419">
        <v>1100</v>
      </c>
      <c r="N45" s="89"/>
    </row>
    <row r="46" spans="1:14" ht="13.5" thickBot="1" x14ac:dyDescent="0.25">
      <c r="A46" s="978"/>
      <c r="B46" s="1030"/>
      <c r="C46" s="71" t="s">
        <v>38</v>
      </c>
      <c r="D46" s="973" t="s">
        <v>267</v>
      </c>
      <c r="E46" s="974"/>
      <c r="F46" s="275" t="s">
        <v>568</v>
      </c>
      <c r="G46" s="84">
        <f t="shared" si="6"/>
        <v>34</v>
      </c>
      <c r="H46" s="84"/>
      <c r="I46" s="405">
        <f t="shared" si="26"/>
        <v>201800</v>
      </c>
      <c r="J46" s="405">
        <f>J47+J54</f>
        <v>45825</v>
      </c>
      <c r="K46" s="405">
        <f>K47+K54</f>
        <v>46925</v>
      </c>
      <c r="L46" s="405">
        <f>L47+L54</f>
        <v>50650</v>
      </c>
      <c r="M46" s="419">
        <f>M47+M54</f>
        <v>58400</v>
      </c>
      <c r="N46" s="89"/>
    </row>
    <row r="47" spans="1:14" ht="13.5" thickBot="1" x14ac:dyDescent="0.25">
      <c r="A47" s="978"/>
      <c r="B47" s="1030"/>
      <c r="C47" s="71"/>
      <c r="D47" s="71" t="s">
        <v>76</v>
      </c>
      <c r="E47" s="71" t="s">
        <v>569</v>
      </c>
      <c r="F47" s="86">
        <v>602</v>
      </c>
      <c r="G47" s="84">
        <f t="shared" si="6"/>
        <v>35</v>
      </c>
      <c r="H47" s="84"/>
      <c r="I47" s="405">
        <f t="shared" si="26"/>
        <v>155300</v>
      </c>
      <c r="J47" s="405">
        <f>SUM(J48:J53)</f>
        <v>34825</v>
      </c>
      <c r="K47" s="405">
        <f>SUM(K48:K53)</f>
        <v>35675</v>
      </c>
      <c r="L47" s="405">
        <f>SUM(L48:L53)</f>
        <v>38900</v>
      </c>
      <c r="M47" s="419">
        <f>SUM(M48:M53)</f>
        <v>45900</v>
      </c>
      <c r="N47" s="89">
        <f>SUM(N48:N53)</f>
        <v>0</v>
      </c>
    </row>
    <row r="48" spans="1:14" ht="13.5" thickBot="1" x14ac:dyDescent="0.25">
      <c r="A48" s="978"/>
      <c r="B48" s="1030"/>
      <c r="C48" s="295"/>
      <c r="D48" s="295"/>
      <c r="E48" s="71" t="s">
        <v>570</v>
      </c>
      <c r="F48" s="296" t="s">
        <v>571</v>
      </c>
      <c r="G48" s="84"/>
      <c r="H48" s="84"/>
      <c r="I48" s="405">
        <f t="shared" si="26"/>
        <v>104500</v>
      </c>
      <c r="J48" s="405">
        <v>25000</v>
      </c>
      <c r="K48" s="405">
        <v>25100</v>
      </c>
      <c r="L48" s="405">
        <v>26125</v>
      </c>
      <c r="M48" s="419">
        <v>28275</v>
      </c>
      <c r="N48" s="89"/>
    </row>
    <row r="49" spans="1:14" ht="13.5" thickBot="1" x14ac:dyDescent="0.25">
      <c r="A49" s="978"/>
      <c r="B49" s="1030"/>
      <c r="C49" s="256"/>
      <c r="D49" s="256"/>
      <c r="E49" s="71" t="s">
        <v>572</v>
      </c>
      <c r="F49" s="296">
        <v>6024</v>
      </c>
      <c r="G49" s="84"/>
      <c r="H49" s="84"/>
      <c r="I49" s="405">
        <f t="shared" si="26"/>
        <v>2500</v>
      </c>
      <c r="J49" s="405">
        <v>625</v>
      </c>
      <c r="K49" s="405">
        <v>625</v>
      </c>
      <c r="L49" s="405">
        <v>625</v>
      </c>
      <c r="M49" s="419">
        <v>625</v>
      </c>
      <c r="N49" s="89"/>
    </row>
    <row r="50" spans="1:14" ht="13.5" thickBot="1" x14ac:dyDescent="0.25">
      <c r="A50" s="978"/>
      <c r="B50" s="1030"/>
      <c r="C50" s="256"/>
      <c r="D50" s="256"/>
      <c r="E50" s="71" t="s">
        <v>573</v>
      </c>
      <c r="F50" s="296">
        <v>6027</v>
      </c>
      <c r="G50" s="84"/>
      <c r="H50" s="84"/>
      <c r="I50" s="405">
        <f t="shared" si="26"/>
        <v>42000</v>
      </c>
      <c r="J50" s="405">
        <v>8000</v>
      </c>
      <c r="K50" s="405">
        <v>8500</v>
      </c>
      <c r="L50" s="405">
        <v>10500</v>
      </c>
      <c r="M50" s="419">
        <v>15000</v>
      </c>
      <c r="N50" s="89"/>
    </row>
    <row r="51" spans="1:14" ht="13.5" thickBot="1" x14ac:dyDescent="0.25">
      <c r="A51" s="978"/>
      <c r="B51" s="1030"/>
      <c r="C51" s="256"/>
      <c r="D51" s="256"/>
      <c r="E51" s="71" t="s">
        <v>574</v>
      </c>
      <c r="F51" s="296" t="s">
        <v>575</v>
      </c>
      <c r="G51" s="84"/>
      <c r="H51" s="84"/>
      <c r="I51" s="405">
        <f t="shared" si="26"/>
        <v>6300</v>
      </c>
      <c r="J51" s="405">
        <v>1200</v>
      </c>
      <c r="K51" s="405">
        <v>1450</v>
      </c>
      <c r="L51" s="405">
        <v>1650</v>
      </c>
      <c r="M51" s="419">
        <v>2000</v>
      </c>
      <c r="N51" s="89"/>
    </row>
    <row r="52" spans="1:14" ht="13.5" thickBot="1" x14ac:dyDescent="0.25">
      <c r="A52" s="978"/>
      <c r="B52" s="1030"/>
      <c r="C52" s="256"/>
      <c r="D52" s="256"/>
      <c r="E52" s="256" t="s">
        <v>576</v>
      </c>
      <c r="F52" s="296">
        <v>608</v>
      </c>
      <c r="G52" s="84"/>
      <c r="H52" s="84"/>
      <c r="I52" s="405">
        <f t="shared" si="26"/>
        <v>0</v>
      </c>
      <c r="J52" s="405"/>
      <c r="K52" s="405"/>
      <c r="L52" s="405"/>
      <c r="M52" s="419"/>
      <c r="N52" s="89"/>
    </row>
    <row r="53" spans="1:14" ht="13.5" thickBot="1" x14ac:dyDescent="0.25">
      <c r="A53" s="978"/>
      <c r="B53" s="1030"/>
      <c r="C53" s="297"/>
      <c r="D53" s="297"/>
      <c r="E53" s="297" t="s">
        <v>577</v>
      </c>
      <c r="F53" s="296">
        <v>609</v>
      </c>
      <c r="G53" s="84"/>
      <c r="H53" s="84"/>
      <c r="I53" s="405">
        <f t="shared" si="26"/>
        <v>0</v>
      </c>
      <c r="J53" s="405"/>
      <c r="K53" s="405"/>
      <c r="L53" s="405"/>
      <c r="M53" s="419"/>
      <c r="N53" s="89"/>
    </row>
    <row r="54" spans="1:14" ht="13.5" thickBot="1" x14ac:dyDescent="0.25">
      <c r="A54" s="978"/>
      <c r="B54" s="1030"/>
      <c r="C54" s="71"/>
      <c r="D54" s="71" t="s">
        <v>99</v>
      </c>
      <c r="E54" s="71" t="s">
        <v>269</v>
      </c>
      <c r="F54" s="86"/>
      <c r="G54" s="84">
        <f>G47+1</f>
        <v>36</v>
      </c>
      <c r="H54" s="84"/>
      <c r="I54" s="405">
        <f t="shared" si="26"/>
        <v>46500</v>
      </c>
      <c r="J54" s="405">
        <f>SUM(J55:J56)</f>
        <v>11000</v>
      </c>
      <c r="K54" s="405">
        <f>SUM(K55:K56)</f>
        <v>11250</v>
      </c>
      <c r="L54" s="405">
        <f>SUM(L55:L56)</f>
        <v>11750</v>
      </c>
      <c r="M54" s="419">
        <f>SUM(M55:M56)</f>
        <v>12500</v>
      </c>
      <c r="N54" s="89">
        <f>SUM(N55:N56)</f>
        <v>0</v>
      </c>
    </row>
    <row r="55" spans="1:14" ht="13.5" thickBot="1" x14ac:dyDescent="0.25">
      <c r="A55" s="978"/>
      <c r="B55" s="1030"/>
      <c r="C55" s="298"/>
      <c r="D55" s="300"/>
      <c r="E55" s="71" t="s">
        <v>578</v>
      </c>
      <c r="F55" s="296">
        <v>6022</v>
      </c>
      <c r="G55" s="84"/>
      <c r="H55" s="84"/>
      <c r="I55" s="405">
        <f t="shared" si="26"/>
        <v>32000</v>
      </c>
      <c r="J55" s="405">
        <v>8000</v>
      </c>
      <c r="K55" s="405">
        <v>8000</v>
      </c>
      <c r="L55" s="405">
        <v>8000</v>
      </c>
      <c r="M55" s="419">
        <v>8000</v>
      </c>
      <c r="N55" s="89"/>
    </row>
    <row r="56" spans="1:14" ht="13.5" thickBot="1" x14ac:dyDescent="0.25">
      <c r="A56" s="978"/>
      <c r="B56" s="1030"/>
      <c r="C56" s="298"/>
      <c r="D56" s="300"/>
      <c r="E56" s="71" t="s">
        <v>579</v>
      </c>
      <c r="F56" s="296">
        <v>604</v>
      </c>
      <c r="G56" s="84"/>
      <c r="H56" s="84"/>
      <c r="I56" s="405">
        <f t="shared" si="26"/>
        <v>14500</v>
      </c>
      <c r="J56" s="405">
        <v>3000</v>
      </c>
      <c r="K56" s="405">
        <v>3250</v>
      </c>
      <c r="L56" s="405">
        <v>3750</v>
      </c>
      <c r="M56" s="419">
        <v>4500</v>
      </c>
      <c r="N56" s="89"/>
    </row>
    <row r="57" spans="1:14" ht="13.5" thickBot="1" x14ac:dyDescent="0.25">
      <c r="A57" s="978"/>
      <c r="B57" s="1030"/>
      <c r="C57" s="71" t="s">
        <v>40</v>
      </c>
      <c r="D57" s="973" t="s">
        <v>343</v>
      </c>
      <c r="E57" s="974"/>
      <c r="F57" s="275">
        <v>603</v>
      </c>
      <c r="G57" s="84">
        <f>G54+1</f>
        <v>37</v>
      </c>
      <c r="H57" s="84"/>
      <c r="I57" s="405">
        <f t="shared" si="26"/>
        <v>5000</v>
      </c>
      <c r="J57" s="405">
        <v>1250</v>
      </c>
      <c r="K57" s="405">
        <v>1250</v>
      </c>
      <c r="L57" s="405">
        <v>1250</v>
      </c>
      <c r="M57" s="419">
        <v>1250</v>
      </c>
      <c r="N57" s="89"/>
    </row>
    <row r="58" spans="1:14" ht="13.5" thickBot="1" x14ac:dyDescent="0.25">
      <c r="A58" s="978"/>
      <c r="B58" s="1030"/>
      <c r="C58" s="71" t="s">
        <v>42</v>
      </c>
      <c r="D58" s="973" t="s">
        <v>271</v>
      </c>
      <c r="E58" s="974"/>
      <c r="F58" s="275">
        <v>605</v>
      </c>
      <c r="G58" s="84">
        <f t="shared" si="6"/>
        <v>38</v>
      </c>
      <c r="H58" s="84"/>
      <c r="I58" s="405">
        <f t="shared" si="26"/>
        <v>593500</v>
      </c>
      <c r="J58" s="405">
        <f>SUM(J59:J63)</f>
        <v>147125</v>
      </c>
      <c r="K58" s="405">
        <f>SUM(K59:K63)</f>
        <v>147125</v>
      </c>
      <c r="L58" s="405">
        <f>SUM(L59:L63)</f>
        <v>149625</v>
      </c>
      <c r="M58" s="419">
        <f>SUM(M59:M63)</f>
        <v>149625</v>
      </c>
      <c r="N58" s="89">
        <f>SUM(N59:N63)</f>
        <v>0</v>
      </c>
    </row>
    <row r="59" spans="1:14" ht="13.5" thickBot="1" x14ac:dyDescent="0.25">
      <c r="A59" s="978"/>
      <c r="B59" s="1030"/>
      <c r="C59" s="295"/>
      <c r="D59" s="295"/>
      <c r="E59" s="256" t="s">
        <v>580</v>
      </c>
      <c r="F59" s="296" t="s">
        <v>581</v>
      </c>
      <c r="G59" s="84"/>
      <c r="H59" s="84"/>
      <c r="I59" s="405">
        <f t="shared" si="26"/>
        <v>105000</v>
      </c>
      <c r="J59" s="405">
        <v>26250</v>
      </c>
      <c r="K59" s="405">
        <v>26250</v>
      </c>
      <c r="L59" s="405">
        <v>26250</v>
      </c>
      <c r="M59" s="419">
        <v>26250</v>
      </c>
      <c r="N59" s="89"/>
    </row>
    <row r="60" spans="1:14" ht="13.5" thickBot="1" x14ac:dyDescent="0.25">
      <c r="A60" s="978"/>
      <c r="B60" s="1030"/>
      <c r="C60" s="256"/>
      <c r="D60" s="256"/>
      <c r="E60" s="256" t="s">
        <v>582</v>
      </c>
      <c r="F60" s="296" t="s">
        <v>583</v>
      </c>
      <c r="G60" s="84"/>
      <c r="H60" s="84"/>
      <c r="I60" s="405">
        <f t="shared" si="26"/>
        <v>115000</v>
      </c>
      <c r="J60" s="405">
        <v>28750</v>
      </c>
      <c r="K60" s="405">
        <v>28750</v>
      </c>
      <c r="L60" s="405">
        <v>28750</v>
      </c>
      <c r="M60" s="419">
        <v>28750</v>
      </c>
      <c r="N60" s="89"/>
    </row>
    <row r="61" spans="1:14" ht="13.5" thickBot="1" x14ac:dyDescent="0.25">
      <c r="A61" s="978"/>
      <c r="B61" s="1030"/>
      <c r="C61" s="256"/>
      <c r="D61" s="256"/>
      <c r="E61" s="295" t="s">
        <v>584</v>
      </c>
      <c r="F61" s="296" t="s">
        <v>585</v>
      </c>
      <c r="G61" s="84"/>
      <c r="H61" s="84"/>
      <c r="I61" s="405">
        <f t="shared" si="26"/>
        <v>365000</v>
      </c>
      <c r="J61" s="405">
        <v>90000</v>
      </c>
      <c r="K61" s="405">
        <v>90000</v>
      </c>
      <c r="L61" s="405">
        <v>92500</v>
      </c>
      <c r="M61" s="419">
        <v>92500</v>
      </c>
      <c r="N61" s="89"/>
    </row>
    <row r="62" spans="1:14" ht="13.5" thickBot="1" x14ac:dyDescent="0.25">
      <c r="A62" s="978"/>
      <c r="B62" s="1030"/>
      <c r="C62" s="256"/>
      <c r="D62" s="256"/>
      <c r="E62" s="256" t="s">
        <v>586</v>
      </c>
      <c r="F62" s="296" t="s">
        <v>587</v>
      </c>
      <c r="G62" s="84"/>
      <c r="H62" s="84"/>
      <c r="I62" s="405">
        <f t="shared" si="26"/>
        <v>8500</v>
      </c>
      <c r="J62" s="405">
        <v>2125</v>
      </c>
      <c r="K62" s="405">
        <v>2125</v>
      </c>
      <c r="L62" s="405">
        <v>2125</v>
      </c>
      <c r="M62" s="419">
        <v>2125</v>
      </c>
      <c r="N62" s="89"/>
    </row>
    <row r="63" spans="1:14" ht="13.5" thickBot="1" x14ac:dyDescent="0.25">
      <c r="A63" s="978"/>
      <c r="B63" s="1030"/>
      <c r="C63" s="297"/>
      <c r="D63" s="297"/>
      <c r="E63" s="297" t="s">
        <v>588</v>
      </c>
      <c r="F63" s="296" t="s">
        <v>589</v>
      </c>
      <c r="G63" s="84"/>
      <c r="H63" s="84"/>
      <c r="I63" s="405">
        <f t="shared" si="26"/>
        <v>0</v>
      </c>
      <c r="J63" s="405"/>
      <c r="K63" s="405"/>
      <c r="L63" s="405"/>
      <c r="M63" s="419"/>
      <c r="N63" s="89"/>
    </row>
    <row r="64" spans="1:14" ht="13.5" thickBot="1" x14ac:dyDescent="0.25">
      <c r="A64" s="978"/>
      <c r="B64" s="1030"/>
      <c r="C64" s="71" t="s">
        <v>28</v>
      </c>
      <c r="D64" s="973" t="s">
        <v>272</v>
      </c>
      <c r="E64" s="974"/>
      <c r="F64" s="275"/>
      <c r="G64" s="84">
        <f>G58+1</f>
        <v>39</v>
      </c>
      <c r="H64" s="84"/>
      <c r="I64" s="405">
        <v>0</v>
      </c>
      <c r="J64" s="405">
        <v>0</v>
      </c>
      <c r="K64" s="405">
        <v>0</v>
      </c>
      <c r="L64" s="405">
        <v>0</v>
      </c>
      <c r="M64" s="419">
        <v>0</v>
      </c>
      <c r="N64" s="89"/>
    </row>
    <row r="65" spans="1:14" ht="23.25" customHeight="1" thickBot="1" x14ac:dyDescent="0.25">
      <c r="A65" s="978"/>
      <c r="B65" s="1030"/>
      <c r="C65" s="294" t="s">
        <v>273</v>
      </c>
      <c r="D65" s="986" t="s">
        <v>465</v>
      </c>
      <c r="E65" s="988"/>
      <c r="F65" s="276"/>
      <c r="G65" s="97">
        <f t="shared" si="6"/>
        <v>40</v>
      </c>
      <c r="H65" s="97"/>
      <c r="I65" s="426">
        <f t="shared" ref="I65:M65" si="27">SUM(I66:I70)+I74</f>
        <v>35900</v>
      </c>
      <c r="J65" s="426">
        <f t="shared" si="27"/>
        <v>7975</v>
      </c>
      <c r="K65" s="426">
        <f t="shared" si="27"/>
        <v>8275</v>
      </c>
      <c r="L65" s="426">
        <f t="shared" si="27"/>
        <v>8825</v>
      </c>
      <c r="M65" s="427">
        <f t="shared" si="27"/>
        <v>10825</v>
      </c>
      <c r="N65" s="100">
        <f t="shared" ref="N65" si="28">N66+N70+N74</f>
        <v>0</v>
      </c>
    </row>
    <row r="66" spans="1:14" ht="13.5" thickBot="1" x14ac:dyDescent="0.25">
      <c r="A66" s="978"/>
      <c r="B66" s="1030"/>
      <c r="C66" s="71" t="s">
        <v>27</v>
      </c>
      <c r="D66" s="973" t="s">
        <v>274</v>
      </c>
      <c r="E66" s="974"/>
      <c r="F66" s="275">
        <v>611</v>
      </c>
      <c r="G66" s="84">
        <f t="shared" si="6"/>
        <v>41</v>
      </c>
      <c r="H66" s="84"/>
      <c r="I66" s="405">
        <f t="shared" ref="I66:I74" si="29">SUM(J66:M66)</f>
        <v>32000</v>
      </c>
      <c r="J66" s="405">
        <v>7000</v>
      </c>
      <c r="K66" s="405">
        <v>7300</v>
      </c>
      <c r="L66" s="405">
        <v>7850</v>
      </c>
      <c r="M66" s="419">
        <v>9850</v>
      </c>
      <c r="N66" s="89">
        <f>SUM(N67:N69)</f>
        <v>0</v>
      </c>
    </row>
    <row r="67" spans="1:14" ht="13.5" thickBot="1" x14ac:dyDescent="0.25">
      <c r="A67" s="978"/>
      <c r="B67" s="1030"/>
      <c r="C67" s="71"/>
      <c r="D67" s="278"/>
      <c r="E67" s="279" t="s">
        <v>590</v>
      </c>
      <c r="F67" s="296" t="s">
        <v>591</v>
      </c>
      <c r="G67" s="84"/>
      <c r="H67" s="84"/>
      <c r="I67" s="405">
        <f t="shared" si="29"/>
        <v>0</v>
      </c>
      <c r="J67" s="405"/>
      <c r="K67" s="405"/>
      <c r="L67" s="405"/>
      <c r="M67" s="419"/>
      <c r="N67" s="89"/>
    </row>
    <row r="68" spans="1:14" ht="13.5" thickBot="1" x14ac:dyDescent="0.25">
      <c r="A68" s="978"/>
      <c r="B68" s="1030"/>
      <c r="C68" s="71"/>
      <c r="D68" s="278"/>
      <c r="E68" s="279" t="s">
        <v>592</v>
      </c>
      <c r="F68" s="296">
        <v>611.01</v>
      </c>
      <c r="G68" s="84"/>
      <c r="H68" s="84"/>
      <c r="I68" s="405">
        <f t="shared" si="29"/>
        <v>0</v>
      </c>
      <c r="J68" s="405"/>
      <c r="K68" s="405"/>
      <c r="L68" s="405"/>
      <c r="M68" s="419"/>
      <c r="N68" s="89"/>
    </row>
    <row r="69" spans="1:14" ht="13.5" thickBot="1" x14ac:dyDescent="0.25">
      <c r="A69" s="978"/>
      <c r="B69" s="1030"/>
      <c r="C69" s="71"/>
      <c r="D69" s="278"/>
      <c r="E69" s="279" t="s">
        <v>593</v>
      </c>
      <c r="F69" s="296" t="s">
        <v>594</v>
      </c>
      <c r="G69" s="84"/>
      <c r="H69" s="84"/>
      <c r="I69" s="405">
        <f t="shared" si="29"/>
        <v>0</v>
      </c>
      <c r="J69" s="405"/>
      <c r="K69" s="405"/>
      <c r="L69" s="405"/>
      <c r="M69" s="419"/>
      <c r="N69" s="89"/>
    </row>
    <row r="70" spans="1:14" ht="13.5" thickBot="1" x14ac:dyDescent="0.25">
      <c r="A70" s="979"/>
      <c r="B70" s="1031"/>
      <c r="C70" s="71" t="s">
        <v>38</v>
      </c>
      <c r="D70" s="973" t="s">
        <v>275</v>
      </c>
      <c r="E70" s="974"/>
      <c r="F70" s="275">
        <v>612</v>
      </c>
      <c r="G70" s="84">
        <f>G66+1</f>
        <v>42</v>
      </c>
      <c r="H70" s="84"/>
      <c r="I70" s="405">
        <f t="shared" si="29"/>
        <v>2300</v>
      </c>
      <c r="J70" s="405">
        <f>J71+J73</f>
        <v>575</v>
      </c>
      <c r="K70" s="405">
        <f>K71+K73</f>
        <v>575</v>
      </c>
      <c r="L70" s="405">
        <f>L71+L73</f>
        <v>575</v>
      </c>
      <c r="M70" s="419">
        <f>M71+M73</f>
        <v>575</v>
      </c>
      <c r="N70" s="89">
        <f>N71+N73</f>
        <v>0</v>
      </c>
    </row>
    <row r="71" spans="1:14" ht="13.5" thickBot="1" x14ac:dyDescent="0.25">
      <c r="A71" s="977"/>
      <c r="B71" s="1018"/>
      <c r="C71" s="71"/>
      <c r="D71" s="71" t="s">
        <v>76</v>
      </c>
      <c r="E71" s="71" t="s">
        <v>656</v>
      </c>
      <c r="F71" s="86"/>
      <c r="G71" s="84">
        <f t="shared" si="6"/>
        <v>43</v>
      </c>
      <c r="H71" s="84"/>
      <c r="I71" s="405">
        <f t="shared" si="29"/>
        <v>2300</v>
      </c>
      <c r="J71" s="405">
        <v>575</v>
      </c>
      <c r="K71" s="405">
        <v>575</v>
      </c>
      <c r="L71" s="405">
        <v>575</v>
      </c>
      <c r="M71" s="419">
        <v>575</v>
      </c>
      <c r="N71" s="89"/>
    </row>
    <row r="72" spans="1:14" ht="13.5" thickBot="1" x14ac:dyDescent="0.25">
      <c r="A72" s="978"/>
      <c r="B72" s="1019"/>
      <c r="C72" s="71"/>
      <c r="D72" s="71"/>
      <c r="E72" s="86" t="s">
        <v>595</v>
      </c>
      <c r="F72" s="286" t="s">
        <v>596</v>
      </c>
      <c r="G72" s="84"/>
      <c r="H72" s="84"/>
      <c r="I72" s="405">
        <f t="shared" si="29"/>
        <v>0</v>
      </c>
      <c r="J72" s="405"/>
      <c r="K72" s="405"/>
      <c r="L72" s="405"/>
      <c r="M72" s="419"/>
      <c r="N72" s="89"/>
    </row>
    <row r="73" spans="1:14" ht="13.5" thickBot="1" x14ac:dyDescent="0.25">
      <c r="A73" s="978"/>
      <c r="B73" s="1019"/>
      <c r="C73" s="71"/>
      <c r="D73" s="71" t="s">
        <v>99</v>
      </c>
      <c r="E73" s="71" t="s">
        <v>158</v>
      </c>
      <c r="F73" s="86">
        <v>612</v>
      </c>
      <c r="G73" s="84">
        <f>G71+1</f>
        <v>44</v>
      </c>
      <c r="H73" s="84"/>
      <c r="I73" s="405">
        <f t="shared" si="29"/>
        <v>0</v>
      </c>
      <c r="J73" s="405"/>
      <c r="K73" s="405"/>
      <c r="L73" s="405"/>
      <c r="M73" s="419"/>
      <c r="N73" s="89"/>
    </row>
    <row r="74" spans="1:14" ht="13.5" thickBot="1" x14ac:dyDescent="0.25">
      <c r="A74" s="978"/>
      <c r="B74" s="1019"/>
      <c r="C74" s="71" t="s">
        <v>40</v>
      </c>
      <c r="D74" s="973" t="s">
        <v>159</v>
      </c>
      <c r="E74" s="974"/>
      <c r="F74" s="301" t="s">
        <v>597</v>
      </c>
      <c r="G74" s="84">
        <f t="shared" si="6"/>
        <v>45</v>
      </c>
      <c r="H74" s="84"/>
      <c r="I74" s="405">
        <f t="shared" si="29"/>
        <v>1600</v>
      </c>
      <c r="J74" s="405">
        <v>400</v>
      </c>
      <c r="K74" s="405">
        <v>400</v>
      </c>
      <c r="L74" s="405">
        <v>400</v>
      </c>
      <c r="M74" s="419">
        <v>400</v>
      </c>
      <c r="N74" s="89"/>
    </row>
    <row r="75" spans="1:14" ht="23.25" customHeight="1" thickBot="1" x14ac:dyDescent="0.25">
      <c r="A75" s="978"/>
      <c r="B75" s="1019"/>
      <c r="C75" s="294" t="s">
        <v>160</v>
      </c>
      <c r="D75" s="986" t="s">
        <v>466</v>
      </c>
      <c r="E75" s="988"/>
      <c r="F75" s="276"/>
      <c r="G75" s="97">
        <f t="shared" si="6"/>
        <v>46</v>
      </c>
      <c r="H75" s="97"/>
      <c r="I75" s="426">
        <f t="shared" ref="I75:M75" si="30">I76+I77+I79+I86+I91+I95+I99+I100+I101+I110</f>
        <v>229635</v>
      </c>
      <c r="J75" s="426">
        <f t="shared" si="30"/>
        <v>56740</v>
      </c>
      <c r="K75" s="426">
        <f t="shared" si="30"/>
        <v>57240</v>
      </c>
      <c r="L75" s="426">
        <f t="shared" si="30"/>
        <v>57765</v>
      </c>
      <c r="M75" s="427">
        <f t="shared" si="30"/>
        <v>57890</v>
      </c>
      <c r="N75" s="100">
        <f t="shared" ref="N75" si="31">N76+N77+N79+N86+N91+N95+N99+N100+N101+N110</f>
        <v>0</v>
      </c>
    </row>
    <row r="76" spans="1:14" ht="13.5" thickBot="1" x14ac:dyDescent="0.25">
      <c r="A76" s="978"/>
      <c r="B76" s="1019"/>
      <c r="C76" s="71" t="s">
        <v>27</v>
      </c>
      <c r="D76" s="1021" t="s">
        <v>161</v>
      </c>
      <c r="E76" s="1022"/>
      <c r="F76" s="302">
        <v>621</v>
      </c>
      <c r="G76" s="84">
        <f t="shared" si="6"/>
        <v>47</v>
      </c>
      <c r="H76" s="84"/>
      <c r="I76" s="432">
        <f>SUM(J76:M76)</f>
        <v>0</v>
      </c>
      <c r="J76" s="430"/>
      <c r="K76" s="430"/>
      <c r="L76" s="430"/>
      <c r="M76" s="431"/>
      <c r="N76" s="101"/>
    </row>
    <row r="77" spans="1:14" ht="13.5" thickBot="1" x14ac:dyDescent="0.25">
      <c r="A77" s="978"/>
      <c r="B77" s="1019"/>
      <c r="C77" s="71" t="s">
        <v>38</v>
      </c>
      <c r="D77" s="1021" t="s">
        <v>162</v>
      </c>
      <c r="E77" s="1022"/>
      <c r="F77" s="302">
        <v>622</v>
      </c>
      <c r="G77" s="84">
        <f t="shared" ref="G77:G140" si="32">G76+1</f>
        <v>48</v>
      </c>
      <c r="H77" s="84"/>
      <c r="I77" s="432">
        <f>SUM(J77:M77)</f>
        <v>0</v>
      </c>
      <c r="J77" s="430"/>
      <c r="K77" s="430"/>
      <c r="L77" s="430"/>
      <c r="M77" s="431"/>
      <c r="N77" s="101"/>
    </row>
    <row r="78" spans="1:14" ht="13.5" thickBot="1" x14ac:dyDescent="0.25">
      <c r="A78" s="978"/>
      <c r="B78" s="1019"/>
      <c r="C78" s="71"/>
      <c r="D78" s="1021" t="s">
        <v>381</v>
      </c>
      <c r="E78" s="1022"/>
      <c r="F78" s="302"/>
      <c r="G78" s="84">
        <f t="shared" si="32"/>
        <v>49</v>
      </c>
      <c r="H78" s="84"/>
      <c r="I78" s="432">
        <f>SUM(J78:M78)</f>
        <v>0</v>
      </c>
      <c r="J78" s="430"/>
      <c r="K78" s="430"/>
      <c r="L78" s="430"/>
      <c r="M78" s="431"/>
      <c r="N78" s="101"/>
    </row>
    <row r="79" spans="1:14" ht="13.5" thickBot="1" x14ac:dyDescent="0.25">
      <c r="A79" s="978"/>
      <c r="B79" s="1019"/>
      <c r="C79" s="71" t="s">
        <v>40</v>
      </c>
      <c r="D79" s="973" t="s">
        <v>432</v>
      </c>
      <c r="E79" s="974"/>
      <c r="F79" s="275"/>
      <c r="G79" s="84">
        <f t="shared" si="32"/>
        <v>50</v>
      </c>
      <c r="H79" s="84"/>
      <c r="I79" s="432">
        <f t="shared" ref="I79:M79" si="33">I80+I82</f>
        <v>0</v>
      </c>
      <c r="J79" s="405">
        <f t="shared" si="33"/>
        <v>0</v>
      </c>
      <c r="K79" s="405">
        <f t="shared" si="33"/>
        <v>0</v>
      </c>
      <c r="L79" s="405">
        <f t="shared" si="33"/>
        <v>0</v>
      </c>
      <c r="M79" s="419">
        <f t="shared" si="33"/>
        <v>0</v>
      </c>
      <c r="N79" s="89">
        <f t="shared" ref="N79" si="34">N80+N82</f>
        <v>0</v>
      </c>
    </row>
    <row r="80" spans="1:14" ht="13.5" thickBot="1" x14ac:dyDescent="0.25">
      <c r="A80" s="978"/>
      <c r="B80" s="1019"/>
      <c r="C80" s="71"/>
      <c r="D80" s="71" t="s">
        <v>278</v>
      </c>
      <c r="E80" s="71" t="s">
        <v>163</v>
      </c>
      <c r="F80" s="86" t="s">
        <v>598</v>
      </c>
      <c r="G80" s="84">
        <f t="shared" si="32"/>
        <v>51</v>
      </c>
      <c r="H80" s="84"/>
      <c r="I80" s="432">
        <f>SUM(J80:M80)</f>
        <v>0</v>
      </c>
      <c r="J80" s="405"/>
      <c r="K80" s="405"/>
      <c r="L80" s="405"/>
      <c r="M80" s="419"/>
      <c r="N80" s="89"/>
    </row>
    <row r="81" spans="1:14" ht="13.5" thickBot="1" x14ac:dyDescent="0.25">
      <c r="A81" s="978"/>
      <c r="B81" s="1019"/>
      <c r="C81" s="71"/>
      <c r="D81" s="71"/>
      <c r="E81" s="71" t="s">
        <v>164</v>
      </c>
      <c r="F81" s="86"/>
      <c r="G81" s="84">
        <f t="shared" si="32"/>
        <v>52</v>
      </c>
      <c r="H81" s="84"/>
      <c r="I81" s="405">
        <f>SUM(J81:M81)</f>
        <v>0</v>
      </c>
      <c r="J81" s="405"/>
      <c r="K81" s="405"/>
      <c r="L81" s="405"/>
      <c r="M81" s="419"/>
      <c r="N81" s="89"/>
    </row>
    <row r="82" spans="1:14" ht="13.5" thickBot="1" x14ac:dyDescent="0.25">
      <c r="A82" s="978"/>
      <c r="B82" s="1019"/>
      <c r="C82" s="71"/>
      <c r="D82" s="71" t="s">
        <v>165</v>
      </c>
      <c r="E82" s="71" t="s">
        <v>166</v>
      </c>
      <c r="F82" s="86" t="s">
        <v>599</v>
      </c>
      <c r="G82" s="84">
        <f t="shared" si="32"/>
        <v>53</v>
      </c>
      <c r="H82" s="84"/>
      <c r="I82" s="405">
        <f>SUM(J82:M82)</f>
        <v>0</v>
      </c>
      <c r="J82" s="405"/>
      <c r="K82" s="405"/>
      <c r="L82" s="405"/>
      <c r="M82" s="419"/>
      <c r="N82" s="89"/>
    </row>
    <row r="83" spans="1:14" ht="23.25" thickBot="1" x14ac:dyDescent="0.25">
      <c r="A83" s="978"/>
      <c r="B83" s="1019"/>
      <c r="C83" s="71"/>
      <c r="D83" s="71"/>
      <c r="E83" s="71" t="s">
        <v>167</v>
      </c>
      <c r="F83" s="86" t="s">
        <v>22</v>
      </c>
      <c r="G83" s="84">
        <f t="shared" si="32"/>
        <v>54</v>
      </c>
      <c r="H83" s="84"/>
      <c r="I83" s="405">
        <f>SUM(J83:M83)</f>
        <v>0</v>
      </c>
      <c r="J83" s="405"/>
      <c r="K83" s="405"/>
      <c r="L83" s="405"/>
      <c r="M83" s="419"/>
      <c r="N83" s="89"/>
    </row>
    <row r="84" spans="1:14" ht="34.5" thickBot="1" x14ac:dyDescent="0.25">
      <c r="A84" s="978"/>
      <c r="B84" s="1019"/>
      <c r="C84" s="71"/>
      <c r="D84" s="71"/>
      <c r="E84" s="71" t="s">
        <v>168</v>
      </c>
      <c r="F84" s="86" t="s">
        <v>22</v>
      </c>
      <c r="G84" s="84">
        <f t="shared" si="32"/>
        <v>55</v>
      </c>
      <c r="H84" s="84"/>
      <c r="I84" s="405">
        <f>SUM(J84:M84)</f>
        <v>0</v>
      </c>
      <c r="J84" s="405"/>
      <c r="K84" s="405"/>
      <c r="L84" s="405"/>
      <c r="M84" s="419"/>
      <c r="N84" s="89"/>
    </row>
    <row r="85" spans="1:14" ht="13.5" thickBot="1" x14ac:dyDescent="0.25">
      <c r="A85" s="978"/>
      <c r="B85" s="1019"/>
      <c r="C85" s="71"/>
      <c r="D85" s="71"/>
      <c r="E85" s="71" t="s">
        <v>169</v>
      </c>
      <c r="F85" s="86" t="s">
        <v>22</v>
      </c>
      <c r="G85" s="84">
        <f t="shared" si="32"/>
        <v>56</v>
      </c>
      <c r="H85" s="84"/>
      <c r="I85" s="432"/>
      <c r="J85" s="405"/>
      <c r="K85" s="405"/>
      <c r="L85" s="405"/>
      <c r="M85" s="419"/>
      <c r="N85" s="89"/>
    </row>
    <row r="86" spans="1:14" ht="13.5" thickBot="1" x14ac:dyDescent="0.25">
      <c r="A86" s="978"/>
      <c r="B86" s="1019"/>
      <c r="C86" s="71" t="s">
        <v>42</v>
      </c>
      <c r="D86" s="973" t="s">
        <v>433</v>
      </c>
      <c r="E86" s="974"/>
      <c r="F86" s="275">
        <v>6582</v>
      </c>
      <c r="G86" s="84">
        <f t="shared" si="32"/>
        <v>57</v>
      </c>
      <c r="H86" s="84"/>
      <c r="I86" s="432">
        <f t="shared" ref="I86:I95" si="35">SUM(J86:M86)</f>
        <v>0</v>
      </c>
      <c r="J86" s="405">
        <f>J87+J88+J89+J90</f>
        <v>0</v>
      </c>
      <c r="K86" s="405">
        <f>K87+K88+K89+K90</f>
        <v>0</v>
      </c>
      <c r="L86" s="405">
        <f>L87+L88+L89+L90</f>
        <v>0</v>
      </c>
      <c r="M86" s="419">
        <f>M87+M88+M89+M90</f>
        <v>0</v>
      </c>
      <c r="N86" s="89">
        <f>N87+N88+N89+N90</f>
        <v>0</v>
      </c>
    </row>
    <row r="87" spans="1:14" ht="13.5" thickBot="1" x14ac:dyDescent="0.25">
      <c r="A87" s="978"/>
      <c r="B87" s="1019"/>
      <c r="C87" s="71"/>
      <c r="D87" s="102" t="s">
        <v>170</v>
      </c>
      <c r="E87" s="102" t="s">
        <v>236</v>
      </c>
      <c r="F87" s="290" t="s">
        <v>600</v>
      </c>
      <c r="G87" s="84">
        <f t="shared" si="32"/>
        <v>58</v>
      </c>
      <c r="H87" s="84"/>
      <c r="I87" s="432">
        <f t="shared" si="35"/>
        <v>0</v>
      </c>
      <c r="J87" s="430"/>
      <c r="K87" s="430"/>
      <c r="L87" s="430"/>
      <c r="M87" s="431"/>
      <c r="N87" s="101"/>
    </row>
    <row r="88" spans="1:14" ht="13.5" thickBot="1" x14ac:dyDescent="0.25">
      <c r="A88" s="978"/>
      <c r="B88" s="1019"/>
      <c r="C88" s="71"/>
      <c r="D88" s="102" t="s">
        <v>171</v>
      </c>
      <c r="E88" s="102" t="s">
        <v>382</v>
      </c>
      <c r="F88" s="290" t="s">
        <v>601</v>
      </c>
      <c r="G88" s="84">
        <f t="shared" si="32"/>
        <v>59</v>
      </c>
      <c r="H88" s="84"/>
      <c r="I88" s="432">
        <f t="shared" si="35"/>
        <v>0</v>
      </c>
      <c r="J88" s="430"/>
      <c r="K88" s="430"/>
      <c r="L88" s="430"/>
      <c r="M88" s="431"/>
      <c r="N88" s="101"/>
    </row>
    <row r="89" spans="1:14" ht="13.5" thickBot="1" x14ac:dyDescent="0.25">
      <c r="A89" s="978"/>
      <c r="B89" s="1019"/>
      <c r="C89" s="71"/>
      <c r="D89" s="102" t="s">
        <v>172</v>
      </c>
      <c r="E89" s="102" t="s">
        <v>383</v>
      </c>
      <c r="F89" s="290" t="s">
        <v>602</v>
      </c>
      <c r="G89" s="84">
        <f t="shared" si="32"/>
        <v>60</v>
      </c>
      <c r="H89" s="84"/>
      <c r="I89" s="432">
        <f t="shared" si="35"/>
        <v>0</v>
      </c>
      <c r="J89" s="430"/>
      <c r="K89" s="430"/>
      <c r="L89" s="430"/>
      <c r="M89" s="431"/>
      <c r="N89" s="101"/>
    </row>
    <row r="90" spans="1:14" ht="13.5" thickBot="1" x14ac:dyDescent="0.25">
      <c r="A90" s="978"/>
      <c r="B90" s="1019"/>
      <c r="C90" s="71"/>
      <c r="D90" s="102" t="s">
        <v>173</v>
      </c>
      <c r="E90" s="102" t="s">
        <v>384</v>
      </c>
      <c r="F90" s="290" t="s">
        <v>603</v>
      </c>
      <c r="G90" s="84">
        <f t="shared" si="32"/>
        <v>61</v>
      </c>
      <c r="H90" s="84"/>
      <c r="I90" s="432">
        <f t="shared" si="35"/>
        <v>0</v>
      </c>
      <c r="J90" s="430"/>
      <c r="K90" s="430"/>
      <c r="L90" s="430"/>
      <c r="M90" s="431"/>
      <c r="N90" s="101"/>
    </row>
    <row r="91" spans="1:14" ht="13.5" thickBot="1" x14ac:dyDescent="0.25">
      <c r="A91" s="978"/>
      <c r="B91" s="1019"/>
      <c r="C91" s="71" t="s">
        <v>28</v>
      </c>
      <c r="D91" s="973" t="s">
        <v>174</v>
      </c>
      <c r="E91" s="974"/>
      <c r="F91" s="275">
        <v>624</v>
      </c>
      <c r="G91" s="84">
        <f t="shared" si="32"/>
        <v>62</v>
      </c>
      <c r="H91" s="84"/>
      <c r="I91" s="432">
        <f t="shared" si="35"/>
        <v>0</v>
      </c>
      <c r="J91" s="430">
        <f>SUM(J92:J94)</f>
        <v>0</v>
      </c>
      <c r="K91" s="430">
        <f>SUM(K92:K94)</f>
        <v>0</v>
      </c>
      <c r="L91" s="430">
        <f>SUM(L92:L94)</f>
        <v>0</v>
      </c>
      <c r="M91" s="431">
        <f>SUM(M92:M94)</f>
        <v>0</v>
      </c>
      <c r="N91" s="101">
        <f>SUM(N92:N94)</f>
        <v>0</v>
      </c>
    </row>
    <row r="92" spans="1:14" ht="13.5" thickBot="1" x14ac:dyDescent="0.25">
      <c r="A92" s="978"/>
      <c r="B92" s="1019"/>
      <c r="C92" s="71"/>
      <c r="D92" s="973" t="s">
        <v>604</v>
      </c>
      <c r="E92" s="974"/>
      <c r="F92" s="303" t="s">
        <v>605</v>
      </c>
      <c r="G92" s="84"/>
      <c r="H92" s="84"/>
      <c r="I92" s="432">
        <f t="shared" si="35"/>
        <v>0</v>
      </c>
      <c r="J92" s="430"/>
      <c r="K92" s="430"/>
      <c r="L92" s="430"/>
      <c r="M92" s="431"/>
      <c r="N92" s="101"/>
    </row>
    <row r="93" spans="1:14" ht="13.5" thickBot="1" x14ac:dyDescent="0.25">
      <c r="A93" s="978"/>
      <c r="B93" s="1019"/>
      <c r="C93" s="71"/>
      <c r="D93" s="973" t="s">
        <v>606</v>
      </c>
      <c r="E93" s="974"/>
      <c r="F93" s="303" t="s">
        <v>607</v>
      </c>
      <c r="G93" s="84"/>
      <c r="H93" s="84"/>
      <c r="I93" s="432">
        <f t="shared" si="35"/>
        <v>0</v>
      </c>
      <c r="J93" s="430"/>
      <c r="K93" s="430"/>
      <c r="L93" s="430"/>
      <c r="M93" s="431"/>
      <c r="N93" s="101"/>
    </row>
    <row r="94" spans="1:14" ht="13.5" thickBot="1" x14ac:dyDescent="0.25">
      <c r="A94" s="978"/>
      <c r="B94" s="1019"/>
      <c r="C94" s="71"/>
      <c r="D94" s="973" t="s">
        <v>608</v>
      </c>
      <c r="E94" s="974"/>
      <c r="F94" s="303">
        <v>624</v>
      </c>
      <c r="G94" s="84"/>
      <c r="H94" s="84"/>
      <c r="I94" s="432">
        <f t="shared" si="35"/>
        <v>0</v>
      </c>
      <c r="J94" s="430"/>
      <c r="K94" s="430"/>
      <c r="L94" s="430"/>
      <c r="M94" s="431"/>
      <c r="N94" s="101"/>
    </row>
    <row r="95" spans="1:14" ht="13.5" thickBot="1" x14ac:dyDescent="0.25">
      <c r="A95" s="978"/>
      <c r="B95" s="1019"/>
      <c r="C95" s="71" t="s">
        <v>34</v>
      </c>
      <c r="D95" s="973" t="s">
        <v>175</v>
      </c>
      <c r="E95" s="974"/>
      <c r="F95" s="275">
        <v>625</v>
      </c>
      <c r="G95" s="84">
        <f>G91+1</f>
        <v>63</v>
      </c>
      <c r="H95" s="84"/>
      <c r="I95" s="432">
        <f t="shared" si="35"/>
        <v>0</v>
      </c>
      <c r="J95" s="405"/>
      <c r="K95" s="405"/>
      <c r="L95" s="405"/>
      <c r="M95" s="419"/>
      <c r="N95" s="89"/>
    </row>
    <row r="96" spans="1:14" ht="13.5" thickBot="1" x14ac:dyDescent="0.25">
      <c r="A96" s="978"/>
      <c r="B96" s="1019"/>
      <c r="C96" s="71"/>
      <c r="D96" s="973" t="s">
        <v>467</v>
      </c>
      <c r="E96" s="974"/>
      <c r="F96" s="275">
        <v>625</v>
      </c>
      <c r="G96" s="84">
        <f t="shared" si="32"/>
        <v>64</v>
      </c>
      <c r="H96" s="84"/>
      <c r="I96" s="432">
        <f t="shared" ref="I96:M96" si="36">I97+I98</f>
        <v>0</v>
      </c>
      <c r="J96" s="405">
        <f t="shared" si="36"/>
        <v>0</v>
      </c>
      <c r="K96" s="405">
        <f t="shared" si="36"/>
        <v>0</v>
      </c>
      <c r="L96" s="405">
        <f t="shared" si="36"/>
        <v>0</v>
      </c>
      <c r="M96" s="419">
        <f t="shared" si="36"/>
        <v>0</v>
      </c>
      <c r="N96" s="89">
        <f t="shared" ref="N96" si="37">N97+N98</f>
        <v>0</v>
      </c>
    </row>
    <row r="97" spans="1:14" ht="13.5" thickBot="1" x14ac:dyDescent="0.25">
      <c r="A97" s="978"/>
      <c r="B97" s="1019"/>
      <c r="C97" s="71"/>
      <c r="D97" s="1021" t="s">
        <v>385</v>
      </c>
      <c r="E97" s="1022"/>
      <c r="F97" s="302" t="s">
        <v>609</v>
      </c>
      <c r="G97" s="84">
        <f t="shared" si="32"/>
        <v>65</v>
      </c>
      <c r="H97" s="84"/>
      <c r="I97" s="430">
        <f t="shared" ref="I97:I114" si="38">SUM(J97:M97)</f>
        <v>0</v>
      </c>
      <c r="J97" s="430"/>
      <c r="K97" s="430"/>
      <c r="L97" s="430"/>
      <c r="M97" s="431"/>
      <c r="N97" s="101"/>
    </row>
    <row r="98" spans="1:14" ht="13.5" thickBot="1" x14ac:dyDescent="0.25">
      <c r="A98" s="978"/>
      <c r="B98" s="1019"/>
      <c r="C98" s="71"/>
      <c r="D98" s="1021" t="s">
        <v>386</v>
      </c>
      <c r="E98" s="1022"/>
      <c r="F98" s="302" t="s">
        <v>610</v>
      </c>
      <c r="G98" s="84">
        <f t="shared" si="32"/>
        <v>66</v>
      </c>
      <c r="H98" s="84"/>
      <c r="I98" s="432">
        <f t="shared" si="38"/>
        <v>0</v>
      </c>
      <c r="J98" s="430"/>
      <c r="K98" s="430"/>
      <c r="L98" s="430"/>
      <c r="M98" s="431"/>
      <c r="N98" s="101"/>
    </row>
    <row r="99" spans="1:14" ht="13.5" thickBot="1" x14ac:dyDescent="0.25">
      <c r="A99" s="978"/>
      <c r="B99" s="1019"/>
      <c r="C99" s="71" t="s">
        <v>35</v>
      </c>
      <c r="D99" s="973" t="s">
        <v>177</v>
      </c>
      <c r="E99" s="974"/>
      <c r="F99" s="275">
        <v>626</v>
      </c>
      <c r="G99" s="84">
        <f t="shared" si="32"/>
        <v>67</v>
      </c>
      <c r="H99" s="84"/>
      <c r="I99" s="432">
        <f t="shared" si="38"/>
        <v>4500</v>
      </c>
      <c r="J99" s="405">
        <v>1125</v>
      </c>
      <c r="K99" s="405">
        <v>1125</v>
      </c>
      <c r="L99" s="405">
        <v>1125</v>
      </c>
      <c r="M99" s="419">
        <v>1125</v>
      </c>
      <c r="N99" s="89"/>
    </row>
    <row r="100" spans="1:14" ht="13.5" thickBot="1" x14ac:dyDescent="0.25">
      <c r="A100" s="978"/>
      <c r="B100" s="1019"/>
      <c r="C100" s="71" t="s">
        <v>178</v>
      </c>
      <c r="D100" s="973" t="s">
        <v>179</v>
      </c>
      <c r="E100" s="974"/>
      <c r="F100" s="275">
        <v>627</v>
      </c>
      <c r="G100" s="84">
        <f t="shared" si="32"/>
        <v>68</v>
      </c>
      <c r="H100" s="84"/>
      <c r="I100" s="432">
        <f t="shared" si="38"/>
        <v>3020</v>
      </c>
      <c r="J100" s="405">
        <v>750</v>
      </c>
      <c r="K100" s="405">
        <v>750</v>
      </c>
      <c r="L100" s="405">
        <v>760</v>
      </c>
      <c r="M100" s="419">
        <v>760</v>
      </c>
      <c r="N100" s="89"/>
    </row>
    <row r="101" spans="1:14" ht="13.5" thickBot="1" x14ac:dyDescent="0.25">
      <c r="A101" s="978"/>
      <c r="B101" s="1019"/>
      <c r="C101" s="71" t="s">
        <v>180</v>
      </c>
      <c r="D101" s="973" t="s">
        <v>181</v>
      </c>
      <c r="E101" s="974"/>
      <c r="F101" s="275" t="s">
        <v>611</v>
      </c>
      <c r="G101" s="84">
        <f t="shared" si="32"/>
        <v>69</v>
      </c>
      <c r="H101" s="84"/>
      <c r="I101" s="432">
        <f t="shared" si="38"/>
        <v>21990</v>
      </c>
      <c r="J101" s="405">
        <f>SUM(J102:J109)-J106</f>
        <v>5490</v>
      </c>
      <c r="K101" s="405">
        <f>SUM(K102:K109)-K106</f>
        <v>5490</v>
      </c>
      <c r="L101" s="405">
        <f>SUM(L102:L109)-L106</f>
        <v>5505</v>
      </c>
      <c r="M101" s="419">
        <f>SUM(M102:M109)-M106</f>
        <v>5505</v>
      </c>
      <c r="N101" s="89">
        <f>SUM(N102:N109)-N106</f>
        <v>0</v>
      </c>
    </row>
    <row r="102" spans="1:14" ht="13.5" thickBot="1" x14ac:dyDescent="0.25">
      <c r="A102" s="978"/>
      <c r="B102" s="1019"/>
      <c r="C102" s="71"/>
      <c r="D102" s="71" t="s">
        <v>56</v>
      </c>
      <c r="E102" s="71" t="s">
        <v>182</v>
      </c>
      <c r="F102" s="86" t="s">
        <v>612</v>
      </c>
      <c r="G102" s="84">
        <f t="shared" si="32"/>
        <v>70</v>
      </c>
      <c r="H102" s="84"/>
      <c r="I102" s="432">
        <f t="shared" si="38"/>
        <v>0</v>
      </c>
      <c r="J102" s="405"/>
      <c r="K102" s="405"/>
      <c r="L102" s="405"/>
      <c r="M102" s="419"/>
      <c r="N102" s="89"/>
    </row>
    <row r="103" spans="1:14" ht="13.5" thickBot="1" x14ac:dyDescent="0.25">
      <c r="A103" s="978"/>
      <c r="B103" s="1019"/>
      <c r="C103" s="71"/>
      <c r="D103" s="71" t="s">
        <v>57</v>
      </c>
      <c r="E103" s="71" t="s">
        <v>229</v>
      </c>
      <c r="F103" s="86" t="s">
        <v>613</v>
      </c>
      <c r="G103" s="84">
        <f t="shared" si="32"/>
        <v>71</v>
      </c>
      <c r="H103" s="84"/>
      <c r="I103" s="432">
        <f t="shared" si="38"/>
        <v>500</v>
      </c>
      <c r="J103" s="405">
        <v>125</v>
      </c>
      <c r="K103" s="405">
        <v>125</v>
      </c>
      <c r="L103" s="405">
        <v>125</v>
      </c>
      <c r="M103" s="419">
        <v>125</v>
      </c>
      <c r="N103" s="89"/>
    </row>
    <row r="104" spans="1:14" ht="13.5" thickBot="1" x14ac:dyDescent="0.25">
      <c r="A104" s="978"/>
      <c r="B104" s="1019"/>
      <c r="C104" s="71"/>
      <c r="D104" s="71" t="s">
        <v>58</v>
      </c>
      <c r="E104" s="71" t="s">
        <v>183</v>
      </c>
      <c r="F104" s="86">
        <v>614</v>
      </c>
      <c r="G104" s="84">
        <f t="shared" si="32"/>
        <v>72</v>
      </c>
      <c r="H104" s="84"/>
      <c r="I104" s="432">
        <f t="shared" si="38"/>
        <v>490</v>
      </c>
      <c r="J104" s="405">
        <v>115</v>
      </c>
      <c r="K104" s="405">
        <v>115</v>
      </c>
      <c r="L104" s="405">
        <v>130</v>
      </c>
      <c r="M104" s="419">
        <v>130</v>
      </c>
      <c r="N104" s="89"/>
    </row>
    <row r="105" spans="1:14" ht="23.25" thickBot="1" x14ac:dyDescent="0.25">
      <c r="A105" s="978"/>
      <c r="B105" s="1019"/>
      <c r="C105" s="71"/>
      <c r="D105" s="71" t="s">
        <v>59</v>
      </c>
      <c r="E105" s="71" t="s">
        <v>184</v>
      </c>
      <c r="F105" s="86" t="s">
        <v>614</v>
      </c>
      <c r="G105" s="84">
        <f t="shared" si="32"/>
        <v>73</v>
      </c>
      <c r="H105" s="84"/>
      <c r="I105" s="432">
        <f t="shared" si="38"/>
        <v>0</v>
      </c>
      <c r="J105" s="405"/>
      <c r="K105" s="405"/>
      <c r="L105" s="405"/>
      <c r="M105" s="419"/>
      <c r="N105" s="89"/>
    </row>
    <row r="106" spans="1:14" ht="13.5" thickBot="1" x14ac:dyDescent="0.25">
      <c r="A106" s="978"/>
      <c r="B106" s="1019"/>
      <c r="C106" s="71"/>
      <c r="D106" s="71"/>
      <c r="E106" s="71" t="s">
        <v>387</v>
      </c>
      <c r="F106" s="86"/>
      <c r="G106" s="84">
        <f t="shared" si="32"/>
        <v>74</v>
      </c>
      <c r="H106" s="84"/>
      <c r="I106" s="432">
        <f t="shared" si="38"/>
        <v>0</v>
      </c>
      <c r="J106" s="405"/>
      <c r="K106" s="405"/>
      <c r="L106" s="405"/>
      <c r="M106" s="419"/>
      <c r="N106" s="89"/>
    </row>
    <row r="107" spans="1:14" ht="13.5" thickBot="1" x14ac:dyDescent="0.25">
      <c r="A107" s="978"/>
      <c r="B107" s="1019"/>
      <c r="C107" s="71"/>
      <c r="D107" s="71" t="s">
        <v>60</v>
      </c>
      <c r="E107" s="71" t="s">
        <v>545</v>
      </c>
      <c r="F107" s="86" t="s">
        <v>615</v>
      </c>
      <c r="G107" s="84">
        <f t="shared" si="32"/>
        <v>75</v>
      </c>
      <c r="H107" s="84"/>
      <c r="I107" s="432">
        <f t="shared" si="38"/>
        <v>21000</v>
      </c>
      <c r="J107" s="405">
        <v>5250</v>
      </c>
      <c r="K107" s="405">
        <v>5250</v>
      </c>
      <c r="L107" s="405">
        <v>5250</v>
      </c>
      <c r="M107" s="419">
        <v>5250</v>
      </c>
      <c r="N107" s="89"/>
    </row>
    <row r="108" spans="1:14" ht="23.25" thickBot="1" x14ac:dyDescent="0.25">
      <c r="A108" s="978"/>
      <c r="B108" s="1019"/>
      <c r="C108" s="71"/>
      <c r="D108" s="71" t="s">
        <v>61</v>
      </c>
      <c r="E108" s="71" t="s">
        <v>185</v>
      </c>
      <c r="F108" s="86" t="s">
        <v>22</v>
      </c>
      <c r="G108" s="84">
        <f t="shared" si="32"/>
        <v>76</v>
      </c>
      <c r="H108" s="84"/>
      <c r="I108" s="432">
        <f t="shared" si="38"/>
        <v>0</v>
      </c>
      <c r="J108" s="432"/>
      <c r="K108" s="405"/>
      <c r="L108" s="405"/>
      <c r="M108" s="419"/>
      <c r="N108" s="89"/>
    </row>
    <row r="109" spans="1:14" ht="13.5" thickBot="1" x14ac:dyDescent="0.25">
      <c r="A109" s="978"/>
      <c r="B109" s="1019"/>
      <c r="C109" s="71"/>
      <c r="D109" s="71" t="s">
        <v>62</v>
      </c>
      <c r="E109" s="71" t="s">
        <v>186</v>
      </c>
      <c r="F109" s="86" t="s">
        <v>616</v>
      </c>
      <c r="G109" s="84">
        <f t="shared" si="32"/>
        <v>77</v>
      </c>
      <c r="H109" s="84"/>
      <c r="I109" s="432">
        <f t="shared" si="38"/>
        <v>0</v>
      </c>
      <c r="J109" s="405"/>
      <c r="K109" s="405"/>
      <c r="L109" s="405"/>
      <c r="M109" s="419"/>
      <c r="N109" s="89"/>
    </row>
    <row r="110" spans="1:14" ht="13.5" thickBot="1" x14ac:dyDescent="0.25">
      <c r="A110" s="978"/>
      <c r="B110" s="1019"/>
      <c r="C110" s="71" t="s">
        <v>344</v>
      </c>
      <c r="D110" s="973" t="s">
        <v>149</v>
      </c>
      <c r="E110" s="974"/>
      <c r="F110" s="275">
        <f>SUM(F111:F114)</f>
        <v>0</v>
      </c>
      <c r="G110" s="84">
        <f t="shared" si="32"/>
        <v>78</v>
      </c>
      <c r="H110" s="84"/>
      <c r="I110" s="432">
        <f t="shared" si="38"/>
        <v>200125</v>
      </c>
      <c r="J110" s="405">
        <f>SUM(J111:J114)</f>
        <v>49375</v>
      </c>
      <c r="K110" s="405">
        <f>SUM(K111:K114)</f>
        <v>49875</v>
      </c>
      <c r="L110" s="405">
        <f>SUM(L111:L114)</f>
        <v>50375</v>
      </c>
      <c r="M110" s="419">
        <f>SUM(M111:M114)</f>
        <v>50500</v>
      </c>
      <c r="N110" s="89">
        <f>SUM(N111:N114)</f>
        <v>0</v>
      </c>
    </row>
    <row r="111" spans="1:14" ht="13.5" thickBot="1" x14ac:dyDescent="0.25">
      <c r="A111" s="978"/>
      <c r="B111" s="1019"/>
      <c r="C111" s="278"/>
      <c r="D111" s="304"/>
      <c r="E111" s="279" t="s">
        <v>617</v>
      </c>
      <c r="F111" s="296" t="s">
        <v>618</v>
      </c>
      <c r="G111" s="84"/>
      <c r="H111" s="84"/>
      <c r="I111" s="432">
        <f t="shared" si="38"/>
        <v>2400</v>
      </c>
      <c r="J111" s="405">
        <v>600</v>
      </c>
      <c r="K111" s="405">
        <v>600</v>
      </c>
      <c r="L111" s="405">
        <v>600</v>
      </c>
      <c r="M111" s="419">
        <v>600</v>
      </c>
      <c r="N111" s="89"/>
    </row>
    <row r="112" spans="1:14" ht="13.5" thickBot="1" x14ac:dyDescent="0.25">
      <c r="A112" s="978"/>
      <c r="B112" s="1019"/>
      <c r="C112" s="278"/>
      <c r="D112" s="304"/>
      <c r="E112" s="279" t="s">
        <v>619</v>
      </c>
      <c r="F112" s="296" t="s">
        <v>620</v>
      </c>
      <c r="G112" s="84"/>
      <c r="H112" s="84"/>
      <c r="I112" s="432">
        <f t="shared" si="38"/>
        <v>0</v>
      </c>
      <c r="J112" s="405"/>
      <c r="K112" s="405"/>
      <c r="L112" s="405"/>
      <c r="M112" s="419"/>
      <c r="N112" s="89"/>
    </row>
    <row r="113" spans="1:14" ht="13.5" thickBot="1" x14ac:dyDescent="0.25">
      <c r="A113" s="978"/>
      <c r="B113" s="1019"/>
      <c r="C113" s="278"/>
      <c r="D113" s="304"/>
      <c r="E113" s="279" t="s">
        <v>621</v>
      </c>
      <c r="F113" s="305" t="s">
        <v>622</v>
      </c>
      <c r="G113" s="84"/>
      <c r="H113" s="84"/>
      <c r="I113" s="432">
        <f t="shared" si="38"/>
        <v>1100</v>
      </c>
      <c r="J113" s="405">
        <v>275</v>
      </c>
      <c r="K113" s="405">
        <v>275</v>
      </c>
      <c r="L113" s="405">
        <v>275</v>
      </c>
      <c r="M113" s="419">
        <v>275</v>
      </c>
      <c r="N113" s="89"/>
    </row>
    <row r="114" spans="1:14" ht="23.25" thickBot="1" x14ac:dyDescent="0.25">
      <c r="A114" s="978"/>
      <c r="B114" s="1019"/>
      <c r="C114" s="278"/>
      <c r="D114" s="304"/>
      <c r="E114" s="279" t="s">
        <v>623</v>
      </c>
      <c r="F114" s="296" t="s">
        <v>624</v>
      </c>
      <c r="G114" s="84"/>
      <c r="H114" s="84"/>
      <c r="I114" s="432">
        <f t="shared" si="38"/>
        <v>196625</v>
      </c>
      <c r="J114" s="405">
        <v>48500</v>
      </c>
      <c r="K114" s="405">
        <v>49000</v>
      </c>
      <c r="L114" s="405">
        <v>49500</v>
      </c>
      <c r="M114" s="419">
        <v>49625</v>
      </c>
      <c r="N114" s="89"/>
    </row>
    <row r="115" spans="1:14" ht="24" customHeight="1" thickBot="1" x14ac:dyDescent="0.25">
      <c r="A115" s="978"/>
      <c r="B115" s="1019"/>
      <c r="C115" s="1026" t="s">
        <v>468</v>
      </c>
      <c r="D115" s="1027"/>
      <c r="E115" s="1028"/>
      <c r="F115" s="277"/>
      <c r="G115" s="97">
        <f>G110+1</f>
        <v>79</v>
      </c>
      <c r="H115" s="97"/>
      <c r="I115" s="424">
        <f t="shared" ref="I115:M115" si="39">I116+I117+I118+I119+I120+I121</f>
        <v>136510</v>
      </c>
      <c r="J115" s="424">
        <f t="shared" si="39"/>
        <v>34090</v>
      </c>
      <c r="K115" s="424">
        <f t="shared" si="39"/>
        <v>34151</v>
      </c>
      <c r="L115" s="424">
        <f t="shared" si="39"/>
        <v>34227</v>
      </c>
      <c r="M115" s="425">
        <f t="shared" si="39"/>
        <v>34042</v>
      </c>
      <c r="N115" s="98">
        <f t="shared" ref="N115" si="40">N116+N117+N118+N119+N120+N121</f>
        <v>0</v>
      </c>
    </row>
    <row r="116" spans="1:14" ht="20.25" customHeight="1" thickBot="1" x14ac:dyDescent="0.25">
      <c r="A116" s="978"/>
      <c r="B116" s="1019"/>
      <c r="C116" s="71" t="s">
        <v>27</v>
      </c>
      <c r="D116" s="973" t="s">
        <v>188</v>
      </c>
      <c r="E116" s="974"/>
      <c r="F116" s="275" t="s">
        <v>22</v>
      </c>
      <c r="G116" s="84">
        <f t="shared" si="32"/>
        <v>80</v>
      </c>
      <c r="H116" s="84"/>
      <c r="I116" s="405">
        <f t="shared" ref="I116:I130" si="41">SUM(J116:M116)</f>
        <v>0</v>
      </c>
      <c r="J116" s="405"/>
      <c r="K116" s="405"/>
      <c r="L116" s="405"/>
      <c r="M116" s="419"/>
      <c r="N116" s="89"/>
    </row>
    <row r="117" spans="1:14" ht="13.5" thickBot="1" x14ac:dyDescent="0.25">
      <c r="A117" s="978"/>
      <c r="B117" s="1019"/>
      <c r="C117" s="71" t="s">
        <v>38</v>
      </c>
      <c r="D117" s="973" t="s">
        <v>388</v>
      </c>
      <c r="E117" s="974"/>
      <c r="F117" s="275" t="s">
        <v>625</v>
      </c>
      <c r="G117" s="84">
        <f t="shared" si="32"/>
        <v>81</v>
      </c>
      <c r="H117" s="84"/>
      <c r="I117" s="405">
        <f t="shared" si="41"/>
        <v>80000</v>
      </c>
      <c r="J117" s="405">
        <v>20000</v>
      </c>
      <c r="K117" s="405">
        <v>20000</v>
      </c>
      <c r="L117" s="405">
        <v>20000</v>
      </c>
      <c r="M117" s="419">
        <v>20000</v>
      </c>
      <c r="N117" s="89"/>
    </row>
    <row r="118" spans="1:14" ht="13.5" thickBot="1" x14ac:dyDescent="0.25">
      <c r="A118" s="978"/>
      <c r="B118" s="1019"/>
      <c r="C118" s="71" t="s">
        <v>40</v>
      </c>
      <c r="D118" s="973" t="s">
        <v>41</v>
      </c>
      <c r="E118" s="974"/>
      <c r="F118" s="275" t="s">
        <v>626</v>
      </c>
      <c r="G118" s="84">
        <f t="shared" si="32"/>
        <v>82</v>
      </c>
      <c r="H118" s="84"/>
      <c r="I118" s="405">
        <f t="shared" si="41"/>
        <v>0</v>
      </c>
      <c r="J118" s="405"/>
      <c r="K118" s="405"/>
      <c r="L118" s="405"/>
      <c r="M118" s="419"/>
      <c r="N118" s="89"/>
    </row>
    <row r="119" spans="1:14" ht="13.5" thickBot="1" x14ac:dyDescent="0.25">
      <c r="A119" s="979"/>
      <c r="B119" s="1020"/>
      <c r="C119" s="71" t="s">
        <v>42</v>
      </c>
      <c r="D119" s="973" t="s">
        <v>43</v>
      </c>
      <c r="E119" s="974"/>
      <c r="F119" s="275" t="s">
        <v>627</v>
      </c>
      <c r="G119" s="84">
        <f t="shared" si="32"/>
        <v>83</v>
      </c>
      <c r="H119" s="84"/>
      <c r="I119" s="405">
        <f t="shared" si="41"/>
        <v>22500</v>
      </c>
      <c r="J119" s="405">
        <v>5625</v>
      </c>
      <c r="K119" s="405">
        <v>5625</v>
      </c>
      <c r="L119" s="405">
        <v>5625</v>
      </c>
      <c r="M119" s="419">
        <v>5625</v>
      </c>
      <c r="N119" s="89"/>
    </row>
    <row r="120" spans="1:14" ht="13.5" thickBot="1" x14ac:dyDescent="0.25">
      <c r="A120" s="977"/>
      <c r="B120" s="1018"/>
      <c r="C120" s="71" t="s">
        <v>28</v>
      </c>
      <c r="D120" s="973" t="s">
        <v>44</v>
      </c>
      <c r="E120" s="974"/>
      <c r="F120" s="275" t="s">
        <v>628</v>
      </c>
      <c r="G120" s="84">
        <f t="shared" si="32"/>
        <v>84</v>
      </c>
      <c r="H120" s="84"/>
      <c r="I120" s="405">
        <f t="shared" si="41"/>
        <v>0</v>
      </c>
      <c r="J120" s="405"/>
      <c r="K120" s="405"/>
      <c r="L120" s="405"/>
      <c r="M120" s="419"/>
      <c r="N120" s="89"/>
    </row>
    <row r="121" spans="1:14" ht="13.5" thickBot="1" x14ac:dyDescent="0.25">
      <c r="A121" s="978"/>
      <c r="B121" s="1019"/>
      <c r="C121" s="71" t="s">
        <v>34</v>
      </c>
      <c r="D121" s="1029" t="s">
        <v>45</v>
      </c>
      <c r="E121" s="1032"/>
      <c r="F121" s="275" t="s">
        <v>629</v>
      </c>
      <c r="G121" s="84">
        <f t="shared" si="32"/>
        <v>85</v>
      </c>
      <c r="H121" s="84"/>
      <c r="I121" s="405">
        <f t="shared" si="41"/>
        <v>34010</v>
      </c>
      <c r="J121" s="405">
        <f>SUM(J122:J130)</f>
        <v>8465</v>
      </c>
      <c r="K121" s="405">
        <f>SUM(K122:K130)</f>
        <v>8526</v>
      </c>
      <c r="L121" s="405">
        <f>SUM(L122:L130)</f>
        <v>8602</v>
      </c>
      <c r="M121" s="419">
        <f>SUM(M122:M130)</f>
        <v>8417</v>
      </c>
      <c r="N121" s="89">
        <f>SUM(N122:N130)</f>
        <v>0</v>
      </c>
    </row>
    <row r="122" spans="1:14" ht="13.5" thickBot="1" x14ac:dyDescent="0.25">
      <c r="A122" s="978"/>
      <c r="B122" s="1019"/>
      <c r="C122" s="278"/>
      <c r="D122" s="278"/>
      <c r="E122" s="279" t="s">
        <v>630</v>
      </c>
      <c r="F122" s="296" t="s">
        <v>631</v>
      </c>
      <c r="G122" s="84"/>
      <c r="H122" s="84"/>
      <c r="I122" s="405">
        <f t="shared" si="41"/>
        <v>2874</v>
      </c>
      <c r="J122" s="405">
        <v>677</v>
      </c>
      <c r="K122" s="405">
        <v>746</v>
      </c>
      <c r="L122" s="405">
        <v>814</v>
      </c>
      <c r="M122" s="419">
        <v>637</v>
      </c>
      <c r="N122" s="89"/>
    </row>
    <row r="123" spans="1:14" ht="13.5" thickBot="1" x14ac:dyDescent="0.25">
      <c r="A123" s="978"/>
      <c r="B123" s="1019"/>
      <c r="C123" s="278"/>
      <c r="D123" s="278"/>
      <c r="E123" s="279" t="s">
        <v>632</v>
      </c>
      <c r="F123" s="296" t="s">
        <v>633</v>
      </c>
      <c r="G123" s="84"/>
      <c r="H123" s="84"/>
      <c r="I123" s="405">
        <f t="shared" si="41"/>
        <v>900</v>
      </c>
      <c r="J123" s="405">
        <v>225</v>
      </c>
      <c r="K123" s="405">
        <v>225</v>
      </c>
      <c r="L123" s="405">
        <v>225</v>
      </c>
      <c r="M123" s="419">
        <v>225</v>
      </c>
      <c r="N123" s="89"/>
    </row>
    <row r="124" spans="1:14" ht="13.5" thickBot="1" x14ac:dyDescent="0.25">
      <c r="A124" s="978"/>
      <c r="B124" s="1019"/>
      <c r="C124" s="278"/>
      <c r="D124" s="278"/>
      <c r="E124" s="279" t="s">
        <v>634</v>
      </c>
      <c r="F124" s="296" t="s">
        <v>635</v>
      </c>
      <c r="G124" s="84"/>
      <c r="H124" s="84"/>
      <c r="I124" s="405">
        <f t="shared" si="41"/>
        <v>120</v>
      </c>
      <c r="J124" s="405">
        <v>30</v>
      </c>
      <c r="K124" s="405">
        <v>30</v>
      </c>
      <c r="L124" s="405">
        <v>30</v>
      </c>
      <c r="M124" s="419">
        <v>30</v>
      </c>
      <c r="N124" s="89"/>
    </row>
    <row r="125" spans="1:14" ht="13.5" thickBot="1" x14ac:dyDescent="0.25">
      <c r="A125" s="978"/>
      <c r="B125" s="1019"/>
      <c r="C125" s="278"/>
      <c r="D125" s="278"/>
      <c r="E125" s="279" t="s">
        <v>636</v>
      </c>
      <c r="F125" s="296" t="s">
        <v>637</v>
      </c>
      <c r="G125" s="84"/>
      <c r="H125" s="84"/>
      <c r="I125" s="405">
        <f t="shared" si="41"/>
        <v>28000</v>
      </c>
      <c r="J125" s="405">
        <v>7000</v>
      </c>
      <c r="K125" s="405">
        <v>7000</v>
      </c>
      <c r="L125" s="405">
        <v>7000</v>
      </c>
      <c r="M125" s="419">
        <v>7000</v>
      </c>
      <c r="N125" s="89"/>
    </row>
    <row r="126" spans="1:14" ht="13.5" thickBot="1" x14ac:dyDescent="0.25">
      <c r="A126" s="978"/>
      <c r="B126" s="1019"/>
      <c r="C126" s="278"/>
      <c r="D126" s="278"/>
      <c r="E126" s="279" t="s">
        <v>638</v>
      </c>
      <c r="F126" s="296" t="s">
        <v>639</v>
      </c>
      <c r="G126" s="84"/>
      <c r="H126" s="84"/>
      <c r="I126" s="405">
        <f t="shared" si="41"/>
        <v>0</v>
      </c>
      <c r="J126" s="405"/>
      <c r="K126" s="405"/>
      <c r="L126" s="405"/>
      <c r="M126" s="419"/>
      <c r="N126" s="89"/>
    </row>
    <row r="127" spans="1:14" ht="13.5" thickBot="1" x14ac:dyDescent="0.25">
      <c r="A127" s="978"/>
      <c r="B127" s="1019"/>
      <c r="C127" s="278"/>
      <c r="D127" s="278"/>
      <c r="E127" s="279" t="s">
        <v>640</v>
      </c>
      <c r="F127" s="296" t="s">
        <v>641</v>
      </c>
      <c r="G127" s="84"/>
      <c r="H127" s="84"/>
      <c r="I127" s="405">
        <f t="shared" si="41"/>
        <v>16</v>
      </c>
      <c r="J127" s="405">
        <v>8</v>
      </c>
      <c r="K127" s="405"/>
      <c r="L127" s="405">
        <v>8</v>
      </c>
      <c r="M127" s="419"/>
      <c r="N127" s="89"/>
    </row>
    <row r="128" spans="1:14" ht="13.5" thickBot="1" x14ac:dyDescent="0.25">
      <c r="A128" s="978"/>
      <c r="B128" s="1019"/>
      <c r="C128" s="278"/>
      <c r="D128" s="278"/>
      <c r="E128" s="279" t="s">
        <v>642</v>
      </c>
      <c r="F128" s="296" t="s">
        <v>643</v>
      </c>
      <c r="G128" s="84"/>
      <c r="H128" s="84"/>
      <c r="I128" s="405">
        <f t="shared" si="41"/>
        <v>0</v>
      </c>
      <c r="J128" s="405"/>
      <c r="K128" s="405"/>
      <c r="L128" s="405"/>
      <c r="M128" s="419"/>
      <c r="N128" s="89"/>
    </row>
    <row r="129" spans="1:14" ht="13.5" thickBot="1" x14ac:dyDescent="0.25">
      <c r="A129" s="978"/>
      <c r="B129" s="1019"/>
      <c r="C129" s="278"/>
      <c r="D129" s="278"/>
      <c r="E129" s="279" t="s">
        <v>644</v>
      </c>
      <c r="F129" s="296" t="s">
        <v>645</v>
      </c>
      <c r="G129" s="84"/>
      <c r="H129" s="84"/>
      <c r="I129" s="405">
        <f t="shared" si="41"/>
        <v>2100</v>
      </c>
      <c r="J129" s="405">
        <v>525</v>
      </c>
      <c r="K129" s="405">
        <v>525</v>
      </c>
      <c r="L129" s="405">
        <v>525</v>
      </c>
      <c r="M129" s="419">
        <v>525</v>
      </c>
      <c r="N129" s="89"/>
    </row>
    <row r="130" spans="1:14" ht="13.5" thickBot="1" x14ac:dyDescent="0.25">
      <c r="A130" s="978"/>
      <c r="B130" s="1019"/>
      <c r="C130" s="278"/>
      <c r="D130" s="278"/>
      <c r="E130" s="279" t="s">
        <v>646</v>
      </c>
      <c r="F130" s="296" t="s">
        <v>647</v>
      </c>
      <c r="G130" s="84"/>
      <c r="H130" s="84"/>
      <c r="I130" s="405">
        <f t="shared" si="41"/>
        <v>0</v>
      </c>
      <c r="J130" s="405"/>
      <c r="K130" s="405"/>
      <c r="L130" s="405"/>
      <c r="M130" s="419"/>
      <c r="N130" s="89"/>
    </row>
    <row r="131" spans="1:14" ht="21" customHeight="1" thickBot="1" x14ac:dyDescent="0.25">
      <c r="A131" s="978"/>
      <c r="B131" s="1019"/>
      <c r="C131" s="1026" t="s">
        <v>474</v>
      </c>
      <c r="D131" s="1027"/>
      <c r="E131" s="1028"/>
      <c r="F131" s="277"/>
      <c r="G131" s="97">
        <f>G121+1</f>
        <v>86</v>
      </c>
      <c r="H131" s="97"/>
      <c r="I131" s="472">
        <f t="shared" ref="I131:M131" si="42">I133+I137+I145+I149+I158</f>
        <v>1272945.9869200001</v>
      </c>
      <c r="J131" s="424">
        <f t="shared" si="42"/>
        <v>268978.6568</v>
      </c>
      <c r="K131" s="424">
        <f t="shared" si="42"/>
        <v>385142.69036000001</v>
      </c>
      <c r="L131" s="424">
        <f t="shared" si="42"/>
        <v>286657.95591999998</v>
      </c>
      <c r="M131" s="425">
        <f t="shared" si="42"/>
        <v>332166.68384000001</v>
      </c>
      <c r="N131" s="98">
        <f t="shared" ref="N131" si="43">N133+N137+N145+N149+N158</f>
        <v>0</v>
      </c>
    </row>
    <row r="132" spans="1:14" ht="13.5" thickBot="1" x14ac:dyDescent="0.25">
      <c r="A132" s="978"/>
      <c r="B132" s="1019"/>
      <c r="C132" s="306" t="s">
        <v>396</v>
      </c>
      <c r="D132" s="1033" t="s">
        <v>413</v>
      </c>
      <c r="E132" s="1034"/>
      <c r="F132" s="307">
        <v>641</v>
      </c>
      <c r="G132" s="308">
        <f t="shared" si="32"/>
        <v>87</v>
      </c>
      <c r="H132" s="308"/>
      <c r="I132" s="433">
        <f t="shared" ref="I132:M132" si="44">I133+I137</f>
        <v>1053275</v>
      </c>
      <c r="J132" s="433">
        <f t="shared" si="44"/>
        <v>222867</v>
      </c>
      <c r="K132" s="433">
        <f t="shared" si="44"/>
        <v>319604</v>
      </c>
      <c r="L132" s="433">
        <f t="shared" si="44"/>
        <v>236187</v>
      </c>
      <c r="M132" s="434">
        <f t="shared" si="44"/>
        <v>274617</v>
      </c>
      <c r="N132" s="309">
        <f t="shared" ref="N132" si="45">N133+N137</f>
        <v>0</v>
      </c>
    </row>
    <row r="133" spans="1:14" ht="20.25" customHeight="1" thickBot="1" x14ac:dyDescent="0.25">
      <c r="A133" s="978"/>
      <c r="B133" s="1019"/>
      <c r="C133" s="293" t="s">
        <v>46</v>
      </c>
      <c r="D133" s="1026" t="s">
        <v>189</v>
      </c>
      <c r="E133" s="1028"/>
      <c r="F133" s="277">
        <v>641</v>
      </c>
      <c r="G133" s="97">
        <f t="shared" si="32"/>
        <v>88</v>
      </c>
      <c r="H133" s="97"/>
      <c r="I133" s="424">
        <f t="shared" ref="I133:M133" si="46">I134+I135+I136</f>
        <v>904878</v>
      </c>
      <c r="J133" s="424">
        <f t="shared" si="46"/>
        <v>202120</v>
      </c>
      <c r="K133" s="424">
        <f t="shared" si="46"/>
        <v>229274</v>
      </c>
      <c r="L133" s="424">
        <f t="shared" si="46"/>
        <v>221228</v>
      </c>
      <c r="M133" s="425">
        <f t="shared" si="46"/>
        <v>252256</v>
      </c>
      <c r="N133" s="98">
        <f t="shared" ref="N133" si="47">N134+N135+N136</f>
        <v>0</v>
      </c>
    </row>
    <row r="134" spans="1:14" ht="13.5" thickBot="1" x14ac:dyDescent="0.25">
      <c r="A134" s="978"/>
      <c r="B134" s="1019"/>
      <c r="C134" s="1018"/>
      <c r="D134" s="973" t="s">
        <v>190</v>
      </c>
      <c r="E134" s="974"/>
      <c r="F134" s="275">
        <v>641</v>
      </c>
      <c r="G134" s="84">
        <f t="shared" si="32"/>
        <v>89</v>
      </c>
      <c r="H134" s="84"/>
      <c r="I134" s="430">
        <f>SUM(J134:M134)</f>
        <v>770388</v>
      </c>
      <c r="J134" s="405">
        <v>184320</v>
      </c>
      <c r="K134" s="405">
        <v>190080</v>
      </c>
      <c r="L134" s="405">
        <v>195840</v>
      </c>
      <c r="M134" s="419">
        <v>200148</v>
      </c>
      <c r="N134" s="89"/>
    </row>
    <row r="135" spans="1:14" ht="24" customHeight="1" thickBot="1" x14ac:dyDescent="0.25">
      <c r="A135" s="978"/>
      <c r="B135" s="1019"/>
      <c r="C135" s="1019"/>
      <c r="D135" s="973" t="s">
        <v>191</v>
      </c>
      <c r="E135" s="974"/>
      <c r="F135" s="275"/>
      <c r="G135" s="84">
        <f t="shared" si="32"/>
        <v>90</v>
      </c>
      <c r="H135" s="84"/>
      <c r="I135" s="430">
        <f>SUM(J135:M135)</f>
        <v>39290</v>
      </c>
      <c r="J135" s="405">
        <v>9400</v>
      </c>
      <c r="K135" s="405">
        <v>9694</v>
      </c>
      <c r="L135" s="405">
        <v>9988</v>
      </c>
      <c r="M135" s="419">
        <v>10208</v>
      </c>
      <c r="N135" s="89"/>
    </row>
    <row r="136" spans="1:14" ht="13.5" thickBot="1" x14ac:dyDescent="0.25">
      <c r="A136" s="978"/>
      <c r="B136" s="1019"/>
      <c r="C136" s="1020"/>
      <c r="D136" s="973" t="s">
        <v>192</v>
      </c>
      <c r="E136" s="974"/>
      <c r="F136" s="275"/>
      <c r="G136" s="84">
        <f t="shared" si="32"/>
        <v>91</v>
      </c>
      <c r="H136" s="84"/>
      <c r="I136" s="430">
        <f>SUM(J136:M136)</f>
        <v>95200</v>
      </c>
      <c r="J136" s="405">
        <v>8400</v>
      </c>
      <c r="K136" s="405">
        <v>29500</v>
      </c>
      <c r="L136" s="405">
        <v>15400</v>
      </c>
      <c r="M136" s="419">
        <v>41900</v>
      </c>
      <c r="N136" s="89"/>
    </row>
    <row r="137" spans="1:14" ht="17.25" customHeight="1" thickBot="1" x14ac:dyDescent="0.25">
      <c r="A137" s="978"/>
      <c r="B137" s="1019"/>
      <c r="C137" s="293" t="s">
        <v>67</v>
      </c>
      <c r="D137" s="1026" t="s">
        <v>389</v>
      </c>
      <c r="E137" s="1028"/>
      <c r="F137" s="277"/>
      <c r="G137" s="97">
        <f t="shared" si="32"/>
        <v>92</v>
      </c>
      <c r="H137" s="97"/>
      <c r="I137" s="424">
        <f t="shared" ref="I137:M137" si="48">I138+I141+I142+I143+I144</f>
        <v>148397</v>
      </c>
      <c r="J137" s="424">
        <f t="shared" si="48"/>
        <v>20747</v>
      </c>
      <c r="K137" s="424">
        <f t="shared" si="48"/>
        <v>90330</v>
      </c>
      <c r="L137" s="424">
        <f t="shared" si="48"/>
        <v>14959</v>
      </c>
      <c r="M137" s="425">
        <f t="shared" si="48"/>
        <v>22361</v>
      </c>
      <c r="N137" s="98">
        <f t="shared" ref="N137" si="49">N138+N141+N142+N143+N144</f>
        <v>0</v>
      </c>
    </row>
    <row r="138" spans="1:14" ht="33" customHeight="1" thickBot="1" x14ac:dyDescent="0.25">
      <c r="A138" s="978"/>
      <c r="B138" s="1019"/>
      <c r="C138" s="71"/>
      <c r="D138" s="973" t="s">
        <v>187</v>
      </c>
      <c r="E138" s="974"/>
      <c r="F138" s="275">
        <v>6458</v>
      </c>
      <c r="G138" s="84">
        <f t="shared" si="32"/>
        <v>93</v>
      </c>
      <c r="H138" s="84"/>
      <c r="I138" s="405">
        <f t="shared" ref="I138" si="50">SUM(J138:M138)</f>
        <v>18000</v>
      </c>
      <c r="J138" s="405">
        <v>1000</v>
      </c>
      <c r="K138" s="405">
        <v>13200</v>
      </c>
      <c r="L138" s="405">
        <v>2000</v>
      </c>
      <c r="M138" s="419">
        <v>1800</v>
      </c>
      <c r="N138" s="89"/>
    </row>
    <row r="139" spans="1:14" ht="13.5" thickBot="1" x14ac:dyDescent="0.25">
      <c r="A139" s="978"/>
      <c r="B139" s="1019"/>
      <c r="C139" s="71"/>
      <c r="D139" s="71"/>
      <c r="E139" s="71" t="s">
        <v>193</v>
      </c>
      <c r="F139" s="86"/>
      <c r="G139" s="84">
        <f t="shared" si="32"/>
        <v>94</v>
      </c>
      <c r="H139" s="84"/>
      <c r="I139" s="405"/>
      <c r="J139" s="405"/>
      <c r="K139" s="405"/>
      <c r="L139" s="405"/>
      <c r="M139" s="419"/>
      <c r="N139" s="89"/>
    </row>
    <row r="140" spans="1:14" ht="23.25" thickBot="1" x14ac:dyDescent="0.25">
      <c r="A140" s="978"/>
      <c r="B140" s="1019"/>
      <c r="C140" s="71"/>
      <c r="D140" s="71"/>
      <c r="E140" s="71" t="s">
        <v>194</v>
      </c>
      <c r="F140" s="86" t="s">
        <v>648</v>
      </c>
      <c r="G140" s="84">
        <f t="shared" si="32"/>
        <v>95</v>
      </c>
      <c r="H140" s="84"/>
      <c r="I140" s="405">
        <f t="shared" ref="I140:I144" si="51">SUM(J140:M140)</f>
        <v>13200</v>
      </c>
      <c r="J140" s="405"/>
      <c r="K140" s="405">
        <v>13200</v>
      </c>
      <c r="L140" s="405"/>
      <c r="M140" s="419"/>
      <c r="N140" s="89"/>
    </row>
    <row r="141" spans="1:14" ht="13.5" thickBot="1" x14ac:dyDescent="0.25">
      <c r="A141" s="978"/>
      <c r="B141" s="1019"/>
      <c r="C141" s="71"/>
      <c r="D141" s="973" t="s">
        <v>74</v>
      </c>
      <c r="E141" s="974"/>
      <c r="F141" s="275" t="s">
        <v>649</v>
      </c>
      <c r="G141" s="84">
        <f t="shared" ref="G141:G175" si="52">G140+1</f>
        <v>96</v>
      </c>
      <c r="H141" s="84"/>
      <c r="I141" s="405">
        <f t="shared" si="51"/>
        <v>72397</v>
      </c>
      <c r="J141" s="405">
        <v>19747</v>
      </c>
      <c r="K141" s="405">
        <v>19130</v>
      </c>
      <c r="L141" s="405">
        <v>12959</v>
      </c>
      <c r="M141" s="419">
        <v>20561</v>
      </c>
      <c r="N141" s="89"/>
    </row>
    <row r="142" spans="1:14" ht="13.5" thickBot="1" x14ac:dyDescent="0.25">
      <c r="A142" s="978"/>
      <c r="B142" s="1019"/>
      <c r="C142" s="71"/>
      <c r="D142" s="973" t="s">
        <v>195</v>
      </c>
      <c r="E142" s="974"/>
      <c r="F142" s="275"/>
      <c r="G142" s="84">
        <f t="shared" si="52"/>
        <v>97</v>
      </c>
      <c r="H142" s="84"/>
      <c r="I142" s="405">
        <f t="shared" si="51"/>
        <v>0</v>
      </c>
      <c r="J142" s="405"/>
      <c r="K142" s="405"/>
      <c r="L142" s="405"/>
      <c r="M142" s="419"/>
      <c r="N142" s="89"/>
    </row>
    <row r="143" spans="1:14" ht="20.25" customHeight="1" thickBot="1" x14ac:dyDescent="0.25">
      <c r="A143" s="978"/>
      <c r="B143" s="1019"/>
      <c r="C143" s="71"/>
      <c r="D143" s="973" t="s">
        <v>390</v>
      </c>
      <c r="E143" s="974"/>
      <c r="F143" s="275">
        <v>643</v>
      </c>
      <c r="G143" s="84">
        <f t="shared" si="52"/>
        <v>98</v>
      </c>
      <c r="H143" s="84"/>
      <c r="I143" s="405">
        <f t="shared" si="51"/>
        <v>58000</v>
      </c>
      <c r="J143" s="405"/>
      <c r="K143" s="405">
        <v>58000</v>
      </c>
      <c r="L143" s="405"/>
      <c r="M143" s="419"/>
      <c r="N143" s="89"/>
    </row>
    <row r="144" spans="1:14" ht="13.5" thickBot="1" x14ac:dyDescent="0.25">
      <c r="A144" s="978"/>
      <c r="B144" s="1019"/>
      <c r="C144" s="71"/>
      <c r="D144" s="973" t="s">
        <v>196</v>
      </c>
      <c r="E144" s="974"/>
      <c r="F144" s="275"/>
      <c r="G144" s="84">
        <f t="shared" si="52"/>
        <v>99</v>
      </c>
      <c r="H144" s="84"/>
      <c r="I144" s="405">
        <f t="shared" si="51"/>
        <v>0</v>
      </c>
      <c r="J144" s="405"/>
      <c r="K144" s="405"/>
      <c r="L144" s="405"/>
      <c r="M144" s="419"/>
      <c r="N144" s="89"/>
    </row>
    <row r="145" spans="1:14" ht="22.5" customHeight="1" thickBot="1" x14ac:dyDescent="0.25">
      <c r="A145" s="978"/>
      <c r="B145" s="1019"/>
      <c r="C145" s="293" t="s">
        <v>124</v>
      </c>
      <c r="D145" s="1026" t="s">
        <v>197</v>
      </c>
      <c r="E145" s="1028"/>
      <c r="F145" s="277"/>
      <c r="G145" s="97">
        <f t="shared" si="52"/>
        <v>100</v>
      </c>
      <c r="H145" s="97"/>
      <c r="I145" s="424">
        <f t="shared" ref="I145:M145" si="53">I146+I147+I148</f>
        <v>0</v>
      </c>
      <c r="J145" s="424">
        <f t="shared" si="53"/>
        <v>0</v>
      </c>
      <c r="K145" s="424">
        <f t="shared" si="53"/>
        <v>0</v>
      </c>
      <c r="L145" s="424">
        <f t="shared" si="53"/>
        <v>0</v>
      </c>
      <c r="M145" s="425">
        <f t="shared" si="53"/>
        <v>0</v>
      </c>
      <c r="N145" s="98">
        <f t="shared" ref="N145" si="54">N146+N147+N148</f>
        <v>0</v>
      </c>
    </row>
    <row r="146" spans="1:14" ht="21.75" customHeight="1" thickBot="1" x14ac:dyDescent="0.25">
      <c r="A146" s="978"/>
      <c r="B146" s="1019"/>
      <c r="C146" s="71"/>
      <c r="D146" s="973" t="s">
        <v>198</v>
      </c>
      <c r="E146" s="974"/>
      <c r="F146" s="275" t="s">
        <v>22</v>
      </c>
      <c r="G146" s="84">
        <f t="shared" si="52"/>
        <v>101</v>
      </c>
      <c r="H146" s="84"/>
      <c r="I146" s="405">
        <f>SUM(J146:M146)</f>
        <v>0</v>
      </c>
      <c r="J146" s="405">
        <v>0</v>
      </c>
      <c r="K146" s="405">
        <v>0</v>
      </c>
      <c r="L146" s="405">
        <v>0</v>
      </c>
      <c r="M146" s="419">
        <v>0</v>
      </c>
      <c r="N146" s="89">
        <v>0</v>
      </c>
    </row>
    <row r="147" spans="1:14" ht="23.25" customHeight="1" thickBot="1" x14ac:dyDescent="0.25">
      <c r="A147" s="978"/>
      <c r="B147" s="1019"/>
      <c r="C147" s="71"/>
      <c r="D147" s="973" t="s">
        <v>199</v>
      </c>
      <c r="E147" s="974"/>
      <c r="F147" s="275" t="s">
        <v>22</v>
      </c>
      <c r="G147" s="84">
        <f t="shared" si="52"/>
        <v>102</v>
      </c>
      <c r="H147" s="84"/>
      <c r="I147" s="405">
        <f>SUM(J147:M147)</f>
        <v>0</v>
      </c>
      <c r="J147" s="405">
        <v>0</v>
      </c>
      <c r="K147" s="405">
        <v>0</v>
      </c>
      <c r="L147" s="405">
        <v>0</v>
      </c>
      <c r="M147" s="419">
        <v>0</v>
      </c>
      <c r="N147" s="89">
        <v>0</v>
      </c>
    </row>
    <row r="148" spans="1:14" ht="21" customHeight="1" thickBot="1" x14ac:dyDescent="0.25">
      <c r="A148" s="978"/>
      <c r="B148" s="1019"/>
      <c r="C148" s="71"/>
      <c r="D148" s="973" t="s">
        <v>200</v>
      </c>
      <c r="E148" s="974"/>
      <c r="F148" s="275" t="s">
        <v>22</v>
      </c>
      <c r="G148" s="84">
        <f t="shared" si="52"/>
        <v>103</v>
      </c>
      <c r="H148" s="84"/>
      <c r="I148" s="405">
        <f>SUM(J148:M148)</f>
        <v>0</v>
      </c>
      <c r="J148" s="405">
        <v>0</v>
      </c>
      <c r="K148" s="405">
        <v>0</v>
      </c>
      <c r="L148" s="405">
        <v>0</v>
      </c>
      <c r="M148" s="419">
        <v>0</v>
      </c>
      <c r="N148" s="89">
        <v>0</v>
      </c>
    </row>
    <row r="149" spans="1:14" ht="22.5" customHeight="1" thickBot="1" x14ac:dyDescent="0.25">
      <c r="A149" s="978"/>
      <c r="B149" s="1019"/>
      <c r="C149" s="293" t="s">
        <v>63</v>
      </c>
      <c r="D149" s="986" t="s">
        <v>75</v>
      </c>
      <c r="E149" s="988"/>
      <c r="F149" s="276"/>
      <c r="G149" s="97">
        <f t="shared" si="52"/>
        <v>104</v>
      </c>
      <c r="H149" s="97"/>
      <c r="I149" s="426">
        <f t="shared" ref="I149:M149" si="55">I150+I153+I156+I157</f>
        <v>0</v>
      </c>
      <c r="J149" s="426">
        <f t="shared" si="55"/>
        <v>0</v>
      </c>
      <c r="K149" s="426">
        <f t="shared" si="55"/>
        <v>0</v>
      </c>
      <c r="L149" s="426">
        <f t="shared" si="55"/>
        <v>0</v>
      </c>
      <c r="M149" s="427">
        <f t="shared" si="55"/>
        <v>0</v>
      </c>
      <c r="N149" s="100">
        <f t="shared" ref="N149" si="56">N150+N153+N156+N157</f>
        <v>0</v>
      </c>
    </row>
    <row r="150" spans="1:14" ht="13.5" thickBot="1" x14ac:dyDescent="0.25">
      <c r="A150" s="978"/>
      <c r="B150" s="1019"/>
      <c r="C150" s="1018"/>
      <c r="D150" s="973" t="s">
        <v>282</v>
      </c>
      <c r="E150" s="974"/>
      <c r="F150" s="275" t="s">
        <v>650</v>
      </c>
      <c r="G150" s="84">
        <f t="shared" si="52"/>
        <v>105</v>
      </c>
      <c r="H150" s="84"/>
      <c r="I150" s="435">
        <f t="shared" ref="I150:I155" si="57">SUM(J150:M150)</f>
        <v>0</v>
      </c>
      <c r="J150" s="435">
        <f>SUM(J151:J152)</f>
        <v>0</v>
      </c>
      <c r="K150" s="435">
        <f>SUM(K151:K152)</f>
        <v>0</v>
      </c>
      <c r="L150" s="435">
        <f>SUM(L151:L152)</f>
        <v>0</v>
      </c>
      <c r="M150" s="436">
        <f>SUM(M151:M152)</f>
        <v>0</v>
      </c>
      <c r="N150" s="250">
        <f>SUM(N151:N152)</f>
        <v>0</v>
      </c>
    </row>
    <row r="151" spans="1:14" ht="13.5" thickBot="1" x14ac:dyDescent="0.25">
      <c r="A151" s="978"/>
      <c r="B151" s="1019"/>
      <c r="C151" s="1019"/>
      <c r="D151" s="306"/>
      <c r="E151" s="310" t="s">
        <v>414</v>
      </c>
      <c r="F151" s="311"/>
      <c r="G151" s="308">
        <f t="shared" si="52"/>
        <v>106</v>
      </c>
      <c r="H151" s="308"/>
      <c r="I151" s="437">
        <f t="shared" si="57"/>
        <v>0</v>
      </c>
      <c r="J151" s="437"/>
      <c r="K151" s="437"/>
      <c r="L151" s="437"/>
      <c r="M151" s="438"/>
      <c r="N151" s="312"/>
    </row>
    <row r="152" spans="1:14" ht="13.5" thickBot="1" x14ac:dyDescent="0.25">
      <c r="A152" s="978"/>
      <c r="B152" s="1019"/>
      <c r="C152" s="1019"/>
      <c r="D152" s="306"/>
      <c r="E152" s="310" t="s">
        <v>415</v>
      </c>
      <c r="F152" s="311"/>
      <c r="G152" s="308">
        <f t="shared" si="52"/>
        <v>107</v>
      </c>
      <c r="H152" s="308"/>
      <c r="I152" s="437">
        <f t="shared" si="57"/>
        <v>0</v>
      </c>
      <c r="J152" s="437"/>
      <c r="K152" s="437"/>
      <c r="L152" s="437"/>
      <c r="M152" s="438"/>
      <c r="N152" s="312"/>
    </row>
    <row r="153" spans="1:14" ht="19.5" customHeight="1" thickBot="1" x14ac:dyDescent="0.25">
      <c r="A153" s="978"/>
      <c r="B153" s="1019"/>
      <c r="C153" s="1019"/>
      <c r="D153" s="973" t="s">
        <v>201</v>
      </c>
      <c r="E153" s="974"/>
      <c r="F153" s="275" t="s">
        <v>651</v>
      </c>
      <c r="G153" s="84">
        <f t="shared" si="52"/>
        <v>108</v>
      </c>
      <c r="H153" s="84"/>
      <c r="I153" s="435">
        <f t="shared" si="57"/>
        <v>0</v>
      </c>
      <c r="J153" s="435">
        <f>SUM(J154:J155)</f>
        <v>0</v>
      </c>
      <c r="K153" s="435">
        <f>SUM(K154:K155)</f>
        <v>0</v>
      </c>
      <c r="L153" s="435">
        <f>SUM(L154:L155)</f>
        <v>0</v>
      </c>
      <c r="M153" s="436">
        <f>SUM(M154:M155)</f>
        <v>0</v>
      </c>
      <c r="N153" s="250">
        <f>SUM(N154:N155)</f>
        <v>0</v>
      </c>
    </row>
    <row r="154" spans="1:14" ht="13.5" thickBot="1" x14ac:dyDescent="0.25">
      <c r="A154" s="978"/>
      <c r="B154" s="1019"/>
      <c r="C154" s="1019"/>
      <c r="D154" s="313"/>
      <c r="E154" s="310" t="s">
        <v>414</v>
      </c>
      <c r="F154" s="311"/>
      <c r="G154" s="308">
        <f t="shared" si="52"/>
        <v>109</v>
      </c>
      <c r="H154" s="308"/>
      <c r="I154" s="439">
        <f t="shared" si="57"/>
        <v>0</v>
      </c>
      <c r="J154" s="439"/>
      <c r="K154" s="439"/>
      <c r="L154" s="439"/>
      <c r="M154" s="440"/>
      <c r="N154" s="125"/>
    </row>
    <row r="155" spans="1:14" ht="13.5" thickBot="1" x14ac:dyDescent="0.25">
      <c r="A155" s="978"/>
      <c r="B155" s="1019"/>
      <c r="C155" s="1019"/>
      <c r="D155" s="313"/>
      <c r="E155" s="310" t="s">
        <v>415</v>
      </c>
      <c r="F155" s="311"/>
      <c r="G155" s="308">
        <f t="shared" si="52"/>
        <v>110</v>
      </c>
      <c r="H155" s="308"/>
      <c r="I155" s="439">
        <f t="shared" si="57"/>
        <v>0</v>
      </c>
      <c r="J155" s="439"/>
      <c r="K155" s="439"/>
      <c r="L155" s="439"/>
      <c r="M155" s="440"/>
      <c r="N155" s="125"/>
    </row>
    <row r="156" spans="1:14" ht="13.5" thickBot="1" x14ac:dyDescent="0.25">
      <c r="A156" s="978"/>
      <c r="B156" s="1019"/>
      <c r="C156" s="1020"/>
      <c r="D156" s="973" t="s">
        <v>202</v>
      </c>
      <c r="E156" s="974"/>
      <c r="F156" s="275" t="s">
        <v>652</v>
      </c>
      <c r="G156" s="84">
        <f t="shared" si="52"/>
        <v>111</v>
      </c>
      <c r="H156" s="84"/>
      <c r="I156" s="435">
        <f t="shared" ref="I156:I164" si="58">SUM(J156:M156)</f>
        <v>0</v>
      </c>
      <c r="J156" s="435"/>
      <c r="K156" s="435"/>
      <c r="L156" s="435"/>
      <c r="M156" s="436"/>
      <c r="N156" s="250"/>
    </row>
    <row r="157" spans="1:14" ht="13.5" thickBot="1" x14ac:dyDescent="0.25">
      <c r="A157" s="978"/>
      <c r="B157" s="1019"/>
      <c r="C157" s="71"/>
      <c r="D157" s="973" t="s">
        <v>203</v>
      </c>
      <c r="E157" s="974"/>
      <c r="F157" s="275"/>
      <c r="G157" s="84">
        <f t="shared" si="52"/>
        <v>112</v>
      </c>
      <c r="H157" s="84"/>
      <c r="I157" s="405">
        <f t="shared" si="58"/>
        <v>0</v>
      </c>
      <c r="J157" s="405">
        <v>0</v>
      </c>
      <c r="K157" s="405">
        <v>0</v>
      </c>
      <c r="L157" s="405">
        <v>0</v>
      </c>
      <c r="M157" s="419">
        <v>0</v>
      </c>
      <c r="N157" s="89">
        <v>0</v>
      </c>
    </row>
    <row r="158" spans="1:14" ht="21" customHeight="1" thickBot="1" x14ac:dyDescent="0.25">
      <c r="A158" s="978"/>
      <c r="B158" s="1019"/>
      <c r="C158" s="293" t="s">
        <v>68</v>
      </c>
      <c r="D158" s="986" t="s">
        <v>204</v>
      </c>
      <c r="E158" s="988"/>
      <c r="F158" s="276"/>
      <c r="G158" s="97">
        <f t="shared" si="52"/>
        <v>113</v>
      </c>
      <c r="H158" s="409">
        <f>SUM(H159:H161)</f>
        <v>0.22814000000000001</v>
      </c>
      <c r="I158" s="426">
        <f t="shared" si="58"/>
        <v>219670.98692</v>
      </c>
      <c r="J158" s="426">
        <f>SUM(J159:J164)</f>
        <v>46111.656800000004</v>
      </c>
      <c r="K158" s="426">
        <f>SUM(K159:K164)</f>
        <v>65538.690360000008</v>
      </c>
      <c r="L158" s="426">
        <f>SUM(L159:L164)</f>
        <v>50470.95592</v>
      </c>
      <c r="M158" s="427">
        <f>SUM(M159:M164)</f>
        <v>57549.683839999998</v>
      </c>
      <c r="N158" s="100">
        <f>SUM(N159:N164)</f>
        <v>0</v>
      </c>
    </row>
    <row r="159" spans="1:14" ht="13.5" thickBot="1" x14ac:dyDescent="0.25">
      <c r="A159" s="978"/>
      <c r="B159" s="1019"/>
      <c r="C159" s="314"/>
      <c r="D159" s="973" t="s">
        <v>205</v>
      </c>
      <c r="E159" s="974"/>
      <c r="F159" s="275">
        <v>645</v>
      </c>
      <c r="G159" s="84">
        <f t="shared" si="52"/>
        <v>114</v>
      </c>
      <c r="H159" s="410">
        <f>(15.8+0.214)%</f>
        <v>0.16014</v>
      </c>
      <c r="I159" s="430">
        <f t="shared" si="58"/>
        <v>154195.28292000003</v>
      </c>
      <c r="J159" s="405">
        <f>(J133+J143+J149)*$H$159</f>
        <v>32367.496800000001</v>
      </c>
      <c r="K159" s="405">
        <f>(K133+K143+K149)*$H$159</f>
        <v>46004.058360000003</v>
      </c>
      <c r="L159" s="405">
        <f>(L133+L143+L149)*$H$159</f>
        <v>35427.45192</v>
      </c>
      <c r="M159" s="405">
        <f>(M133+M143+M149)*$H$159</f>
        <v>40396.275840000002</v>
      </c>
      <c r="N159" s="89"/>
    </row>
    <row r="160" spans="1:14" ht="13.5" thickBot="1" x14ac:dyDescent="0.25">
      <c r="A160" s="978"/>
      <c r="B160" s="1019"/>
      <c r="C160" s="315"/>
      <c r="D160" s="973" t="s">
        <v>206</v>
      </c>
      <c r="E160" s="974"/>
      <c r="F160" s="275">
        <v>6452</v>
      </c>
      <c r="G160" s="84">
        <f t="shared" si="52"/>
        <v>115</v>
      </c>
      <c r="H160" s="410">
        <v>7.4999999999999997E-3</v>
      </c>
      <c r="I160" s="430">
        <f t="shared" si="58"/>
        <v>7221.585</v>
      </c>
      <c r="J160" s="405">
        <f>(J133+J143+J149)*$H$160</f>
        <v>1515.8999999999999</v>
      </c>
      <c r="K160" s="405">
        <f>(K133+K143+K149)*$H$160</f>
        <v>2154.5549999999998</v>
      </c>
      <c r="L160" s="405">
        <f>(L133+L143+L149)*$H$160</f>
        <v>1659.21</v>
      </c>
      <c r="M160" s="405">
        <f>(M133+M143+M149)*$H$160</f>
        <v>1891.9199999999998</v>
      </c>
      <c r="N160" s="89"/>
    </row>
    <row r="161" spans="1:14" ht="13.5" thickBot="1" x14ac:dyDescent="0.25">
      <c r="A161" s="978"/>
      <c r="B161" s="1019"/>
      <c r="C161" s="315"/>
      <c r="D161" s="973" t="s">
        <v>207</v>
      </c>
      <c r="E161" s="974"/>
      <c r="F161" s="275">
        <v>6453</v>
      </c>
      <c r="G161" s="84">
        <f t="shared" si="52"/>
        <v>116</v>
      </c>
      <c r="H161" s="410">
        <v>6.0499999999999998E-2</v>
      </c>
      <c r="I161" s="430">
        <f t="shared" si="58"/>
        <v>58254.118999999999</v>
      </c>
      <c r="J161" s="405">
        <f>(J133+J143+J149)*$H$161</f>
        <v>12228.26</v>
      </c>
      <c r="K161" s="405">
        <f>(K133+K143+K149)*$H$161</f>
        <v>17380.077000000001</v>
      </c>
      <c r="L161" s="405">
        <f>(L133+L143+L149)*$H$161</f>
        <v>13384.294</v>
      </c>
      <c r="M161" s="405">
        <f>(M133+M143+M149)*$H$161</f>
        <v>15261.487999999999</v>
      </c>
      <c r="N161" s="89"/>
    </row>
    <row r="162" spans="1:14" ht="21" customHeight="1" thickBot="1" x14ac:dyDescent="0.25">
      <c r="A162" s="978"/>
      <c r="B162" s="1019"/>
      <c r="C162" s="315"/>
      <c r="D162" s="973" t="s">
        <v>208</v>
      </c>
      <c r="E162" s="974"/>
      <c r="F162" s="275"/>
      <c r="G162" s="84">
        <f t="shared" si="52"/>
        <v>117</v>
      </c>
      <c r="H162" s="84"/>
      <c r="I162" s="430">
        <f t="shared" si="58"/>
        <v>0</v>
      </c>
      <c r="J162" s="405"/>
      <c r="K162" s="405"/>
      <c r="L162" s="405"/>
      <c r="M162" s="419"/>
      <c r="N162" s="89"/>
    </row>
    <row r="163" spans="1:14" ht="13.5" thickBot="1" x14ac:dyDescent="0.25">
      <c r="A163" s="978"/>
      <c r="B163" s="1019"/>
      <c r="C163" s="315"/>
      <c r="D163" s="973" t="s">
        <v>209</v>
      </c>
      <c r="E163" s="974"/>
      <c r="F163" s="275"/>
      <c r="G163" s="84">
        <f t="shared" si="52"/>
        <v>118</v>
      </c>
      <c r="H163" s="84"/>
      <c r="I163" s="430">
        <f t="shared" si="58"/>
        <v>0</v>
      </c>
      <c r="J163" s="405"/>
      <c r="K163" s="405"/>
      <c r="L163" s="405"/>
      <c r="M163" s="419"/>
      <c r="N163" s="89"/>
    </row>
    <row r="164" spans="1:14" ht="13.5" thickBot="1" x14ac:dyDescent="0.25">
      <c r="A164" s="978"/>
      <c r="B164" s="1019"/>
      <c r="C164" s="298"/>
      <c r="D164" s="973" t="s">
        <v>210</v>
      </c>
      <c r="E164" s="974"/>
      <c r="F164" s="275"/>
      <c r="G164" s="84">
        <f t="shared" si="52"/>
        <v>119</v>
      </c>
      <c r="H164" s="84"/>
      <c r="I164" s="430">
        <f t="shared" si="58"/>
        <v>0</v>
      </c>
      <c r="J164" s="405"/>
      <c r="K164" s="405"/>
      <c r="L164" s="405"/>
      <c r="M164" s="419"/>
      <c r="N164" s="89"/>
    </row>
    <row r="165" spans="1:14" ht="22.5" customHeight="1" thickBot="1" x14ac:dyDescent="0.25">
      <c r="A165" s="978"/>
      <c r="B165" s="1019"/>
      <c r="C165" s="986" t="s">
        <v>469</v>
      </c>
      <c r="D165" s="987"/>
      <c r="E165" s="988"/>
      <c r="F165" s="276"/>
      <c r="G165" s="97">
        <f t="shared" si="52"/>
        <v>120</v>
      </c>
      <c r="H165" s="97"/>
      <c r="I165" s="426">
        <f t="shared" ref="I165:M165" si="59">I166+I169+I170+I171+I172+I173</f>
        <v>37144</v>
      </c>
      <c r="J165" s="426">
        <f t="shared" si="59"/>
        <v>8896</v>
      </c>
      <c r="K165" s="426">
        <f t="shared" si="59"/>
        <v>9926</v>
      </c>
      <c r="L165" s="426">
        <f t="shared" si="59"/>
        <v>8625</v>
      </c>
      <c r="M165" s="427">
        <f t="shared" si="59"/>
        <v>9697</v>
      </c>
      <c r="N165" s="100">
        <f t="shared" ref="N165" si="60">N166+N169+N170+N171+N172+N173</f>
        <v>0</v>
      </c>
    </row>
    <row r="166" spans="1:14" ht="13.5" thickBot="1" x14ac:dyDescent="0.25">
      <c r="A166" s="978"/>
      <c r="B166" s="1019"/>
      <c r="C166" s="71" t="s">
        <v>27</v>
      </c>
      <c r="D166" s="973" t="s">
        <v>470</v>
      </c>
      <c r="E166" s="974"/>
      <c r="F166" s="275"/>
      <c r="G166" s="84">
        <f t="shared" si="52"/>
        <v>121</v>
      </c>
      <c r="H166" s="84"/>
      <c r="I166" s="405">
        <f t="shared" ref="I166:M166" si="61">SUM(I167:I168)</f>
        <v>2000</v>
      </c>
      <c r="J166" s="405">
        <f t="shared" si="61"/>
        <v>500</v>
      </c>
      <c r="K166" s="405">
        <f t="shared" si="61"/>
        <v>500</v>
      </c>
      <c r="L166" s="405">
        <f t="shared" si="61"/>
        <v>500</v>
      </c>
      <c r="M166" s="419">
        <f t="shared" si="61"/>
        <v>500</v>
      </c>
      <c r="N166" s="89">
        <f t="shared" ref="N166" si="62">SUM(N167:N168)</f>
        <v>0</v>
      </c>
    </row>
    <row r="167" spans="1:14" ht="13.5" thickBot="1" x14ac:dyDescent="0.25">
      <c r="A167" s="978"/>
      <c r="B167" s="1019"/>
      <c r="C167" s="71"/>
      <c r="D167" s="973" t="s">
        <v>211</v>
      </c>
      <c r="E167" s="974"/>
      <c r="F167" s="275">
        <v>6581</v>
      </c>
      <c r="G167" s="84">
        <f t="shared" si="52"/>
        <v>122</v>
      </c>
      <c r="H167" s="84"/>
      <c r="I167" s="405">
        <f t="shared" ref="I167:I172" si="63">SUM(J167:M167)</f>
        <v>0</v>
      </c>
      <c r="J167" s="405"/>
      <c r="K167" s="405"/>
      <c r="L167" s="405"/>
      <c r="M167" s="419"/>
      <c r="N167" s="89"/>
    </row>
    <row r="168" spans="1:14" ht="13.5" thickBot="1" x14ac:dyDescent="0.25">
      <c r="A168" s="978"/>
      <c r="B168" s="1019"/>
      <c r="C168" s="71"/>
      <c r="D168" s="973" t="s">
        <v>212</v>
      </c>
      <c r="E168" s="974"/>
      <c r="F168" s="275" t="s">
        <v>653</v>
      </c>
      <c r="G168" s="84">
        <f t="shared" si="52"/>
        <v>123</v>
      </c>
      <c r="H168" s="84"/>
      <c r="I168" s="405">
        <f t="shared" si="63"/>
        <v>2000</v>
      </c>
      <c r="J168" s="405">
        <v>500</v>
      </c>
      <c r="K168" s="405">
        <v>500</v>
      </c>
      <c r="L168" s="405">
        <v>500</v>
      </c>
      <c r="M168" s="419">
        <v>500</v>
      </c>
      <c r="N168" s="89"/>
    </row>
    <row r="169" spans="1:14" ht="13.5" thickBot="1" x14ac:dyDescent="0.25">
      <c r="A169" s="979"/>
      <c r="B169" s="1020"/>
      <c r="C169" s="71" t="s">
        <v>38</v>
      </c>
      <c r="D169" s="973" t="s">
        <v>213</v>
      </c>
      <c r="E169" s="974"/>
      <c r="F169" s="275">
        <v>653</v>
      </c>
      <c r="G169" s="84">
        <f t="shared" si="52"/>
        <v>124</v>
      </c>
      <c r="H169" s="84"/>
      <c r="I169" s="405">
        <f t="shared" si="63"/>
        <v>0</v>
      </c>
      <c r="J169" s="405"/>
      <c r="K169" s="405"/>
      <c r="L169" s="405"/>
      <c r="M169" s="419"/>
      <c r="N169" s="89"/>
    </row>
    <row r="170" spans="1:14" ht="13.5" thickBot="1" x14ac:dyDescent="0.25">
      <c r="A170" s="977"/>
      <c r="B170" s="1018"/>
      <c r="C170" s="71" t="s">
        <v>40</v>
      </c>
      <c r="D170" s="973" t="s">
        <v>287</v>
      </c>
      <c r="E170" s="974"/>
      <c r="F170" s="275"/>
      <c r="G170" s="84">
        <f t="shared" si="52"/>
        <v>125</v>
      </c>
      <c r="H170" s="84"/>
      <c r="I170" s="405">
        <f t="shared" si="63"/>
        <v>0</v>
      </c>
      <c r="J170" s="405"/>
      <c r="K170" s="405"/>
      <c r="L170" s="405"/>
      <c r="M170" s="419"/>
      <c r="N170" s="89"/>
    </row>
    <row r="171" spans="1:14" ht="13.5" thickBot="1" x14ac:dyDescent="0.25">
      <c r="A171" s="978"/>
      <c r="B171" s="1019"/>
      <c r="C171" s="71" t="s">
        <v>42</v>
      </c>
      <c r="D171" s="973" t="s">
        <v>149</v>
      </c>
      <c r="E171" s="974"/>
      <c r="F171" s="275">
        <v>658</v>
      </c>
      <c r="G171" s="84">
        <f t="shared" si="52"/>
        <v>126</v>
      </c>
      <c r="H171" s="84"/>
      <c r="I171" s="405">
        <f t="shared" si="63"/>
        <v>0</v>
      </c>
      <c r="J171" s="405"/>
      <c r="K171" s="405"/>
      <c r="L171" s="405"/>
      <c r="M171" s="419"/>
      <c r="N171" s="89"/>
    </row>
    <row r="172" spans="1:14" ht="13.5" thickBot="1" x14ac:dyDescent="0.25">
      <c r="A172" s="978"/>
      <c r="B172" s="1019"/>
      <c r="C172" s="71" t="s">
        <v>28</v>
      </c>
      <c r="D172" s="973" t="s">
        <v>288</v>
      </c>
      <c r="E172" s="974"/>
      <c r="F172" s="275">
        <v>681</v>
      </c>
      <c r="G172" s="84">
        <f t="shared" si="52"/>
        <v>127</v>
      </c>
      <c r="H172" s="84"/>
      <c r="I172" s="405">
        <f t="shared" si="63"/>
        <v>53000</v>
      </c>
      <c r="J172" s="405">
        <v>13250</v>
      </c>
      <c r="K172" s="405">
        <v>13250</v>
      </c>
      <c r="L172" s="405">
        <v>13250</v>
      </c>
      <c r="M172" s="419">
        <v>13250</v>
      </c>
      <c r="N172" s="89"/>
    </row>
    <row r="173" spans="1:14" ht="23.25" customHeight="1" thickBot="1" x14ac:dyDescent="0.25">
      <c r="A173" s="978"/>
      <c r="B173" s="1020"/>
      <c r="C173" s="71" t="s">
        <v>34</v>
      </c>
      <c r="D173" s="973" t="s">
        <v>345</v>
      </c>
      <c r="E173" s="974"/>
      <c r="F173" s="275"/>
      <c r="G173" s="84">
        <f t="shared" si="52"/>
        <v>128</v>
      </c>
      <c r="H173" s="84"/>
      <c r="I173" s="405">
        <f t="shared" ref="I173:M173" si="64">I174-I177</f>
        <v>-17856</v>
      </c>
      <c r="J173" s="405">
        <f t="shared" si="64"/>
        <v>-4854</v>
      </c>
      <c r="K173" s="405">
        <f t="shared" si="64"/>
        <v>-3824</v>
      </c>
      <c r="L173" s="405">
        <f t="shared" si="64"/>
        <v>-5125</v>
      </c>
      <c r="M173" s="419">
        <f t="shared" si="64"/>
        <v>-4053</v>
      </c>
      <c r="N173" s="89">
        <f t="shared" ref="N173" si="65">N174-N177</f>
        <v>0</v>
      </c>
    </row>
    <row r="174" spans="1:14" ht="13.5" thickBot="1" x14ac:dyDescent="0.25">
      <c r="A174" s="978"/>
      <c r="B174" s="71"/>
      <c r="C174" s="71"/>
      <c r="D174" s="71" t="s">
        <v>51</v>
      </c>
      <c r="E174" s="71" t="s">
        <v>460</v>
      </c>
      <c r="F174" s="86">
        <v>6814</v>
      </c>
      <c r="G174" s="84">
        <f t="shared" si="52"/>
        <v>129</v>
      </c>
      <c r="H174" s="84"/>
      <c r="I174" s="405">
        <f>SUM(J174:M174)</f>
        <v>0</v>
      </c>
      <c r="J174" s="405"/>
      <c r="K174" s="405"/>
      <c r="L174" s="405"/>
      <c r="M174" s="492"/>
      <c r="N174" s="89"/>
    </row>
    <row r="175" spans="1:14" ht="13.5" thickBot="1" x14ac:dyDescent="0.25">
      <c r="A175" s="978"/>
      <c r="B175" s="71"/>
      <c r="C175" s="71"/>
      <c r="D175" s="306" t="s">
        <v>416</v>
      </c>
      <c r="E175" s="310" t="s">
        <v>417</v>
      </c>
      <c r="F175" s="311" t="s">
        <v>654</v>
      </c>
      <c r="G175" s="84">
        <f t="shared" si="52"/>
        <v>130</v>
      </c>
      <c r="H175" s="84"/>
      <c r="I175" s="405">
        <f>SUM(J175:M175)</f>
        <v>0</v>
      </c>
      <c r="J175" s="405"/>
      <c r="K175" s="405"/>
      <c r="L175" s="405"/>
      <c r="M175" s="419"/>
      <c r="N175" s="89"/>
    </row>
    <row r="176" spans="1:14" ht="13.5" thickBot="1" x14ac:dyDescent="0.25">
      <c r="A176" s="978"/>
      <c r="B176" s="71"/>
      <c r="C176" s="71"/>
      <c r="D176" s="306" t="s">
        <v>418</v>
      </c>
      <c r="E176" s="316" t="s">
        <v>419</v>
      </c>
      <c r="F176" s="317"/>
      <c r="G176" s="121" t="s">
        <v>420</v>
      </c>
      <c r="H176" s="408"/>
      <c r="I176" s="405"/>
      <c r="J176" s="405"/>
      <c r="K176" s="405"/>
      <c r="L176" s="405"/>
      <c r="M176" s="419"/>
      <c r="N176" s="89"/>
    </row>
    <row r="177" spans="1:14" ht="23.25" thickBot="1" x14ac:dyDescent="0.25">
      <c r="A177" s="978"/>
      <c r="B177" s="71"/>
      <c r="C177" s="71"/>
      <c r="D177" s="318" t="s">
        <v>52</v>
      </c>
      <c r="E177" s="71" t="s">
        <v>346</v>
      </c>
      <c r="F177" s="86">
        <v>781</v>
      </c>
      <c r="G177" s="84">
        <v>131</v>
      </c>
      <c r="H177" s="84"/>
      <c r="I177" s="405">
        <f t="shared" ref="I177:M177" si="66">I178</f>
        <v>17856</v>
      </c>
      <c r="J177" s="405">
        <f t="shared" si="66"/>
        <v>4854</v>
      </c>
      <c r="K177" s="405">
        <f t="shared" si="66"/>
        <v>3824</v>
      </c>
      <c r="L177" s="405">
        <f t="shared" si="66"/>
        <v>5125</v>
      </c>
      <c r="M177" s="419">
        <f t="shared" si="66"/>
        <v>4053</v>
      </c>
      <c r="N177" s="89">
        <f t="shared" ref="N177" si="67">N178</f>
        <v>0</v>
      </c>
    </row>
    <row r="178" spans="1:14" ht="13.5" thickBot="1" x14ac:dyDescent="0.25">
      <c r="A178" s="978"/>
      <c r="B178" s="71"/>
      <c r="C178" s="71"/>
      <c r="D178" s="318" t="s">
        <v>65</v>
      </c>
      <c r="E178" s="71" t="s">
        <v>459</v>
      </c>
      <c r="F178" s="86">
        <v>7814</v>
      </c>
      <c r="G178" s="84">
        <f t="shared" ref="G178:G194" si="68">G177+1</f>
        <v>132</v>
      </c>
      <c r="H178" s="84"/>
      <c r="I178" s="405">
        <f t="shared" ref="I178:M178" si="69">I179+I180+I181</f>
        <v>17856</v>
      </c>
      <c r="J178" s="405">
        <f t="shared" si="69"/>
        <v>4854</v>
      </c>
      <c r="K178" s="405">
        <f t="shared" si="69"/>
        <v>3824</v>
      </c>
      <c r="L178" s="405">
        <f t="shared" si="69"/>
        <v>5125</v>
      </c>
      <c r="M178" s="419">
        <f t="shared" si="69"/>
        <v>4053</v>
      </c>
      <c r="N178" s="89">
        <f t="shared" ref="N178" si="70">N179+N180+N181</f>
        <v>0</v>
      </c>
    </row>
    <row r="179" spans="1:14" ht="13.5" thickBot="1" x14ac:dyDescent="0.25">
      <c r="A179" s="978"/>
      <c r="B179" s="71"/>
      <c r="C179" s="71"/>
      <c r="D179" s="71"/>
      <c r="E179" s="71" t="s">
        <v>426</v>
      </c>
      <c r="F179" s="86">
        <v>7812</v>
      </c>
      <c r="G179" s="84">
        <f t="shared" si="68"/>
        <v>133</v>
      </c>
      <c r="H179" s="84"/>
      <c r="I179" s="405">
        <f>SUM(J179:M179)</f>
        <v>0</v>
      </c>
      <c r="J179" s="405"/>
      <c r="K179" s="405"/>
      <c r="L179" s="405"/>
      <c r="M179" s="419"/>
      <c r="N179" s="89"/>
    </row>
    <row r="180" spans="1:14" ht="13.5" thickBot="1" x14ac:dyDescent="0.25">
      <c r="A180" s="978"/>
      <c r="B180" s="71"/>
      <c r="C180" s="71"/>
      <c r="D180" s="71"/>
      <c r="E180" s="71" t="s">
        <v>347</v>
      </c>
      <c r="F180" s="86"/>
      <c r="G180" s="84">
        <f t="shared" si="68"/>
        <v>134</v>
      </c>
      <c r="H180" s="84"/>
      <c r="I180" s="405">
        <f>SUM(J180:M180)</f>
        <v>17856</v>
      </c>
      <c r="J180" s="405">
        <v>4854</v>
      </c>
      <c r="K180" s="405">
        <v>3824</v>
      </c>
      <c r="L180" s="405">
        <v>5125</v>
      </c>
      <c r="M180" s="419">
        <v>4053</v>
      </c>
      <c r="N180" s="89"/>
    </row>
    <row r="181" spans="1:14" ht="13.5" thickBot="1" x14ac:dyDescent="0.25">
      <c r="A181" s="978"/>
      <c r="B181" s="71"/>
      <c r="C181" s="71"/>
      <c r="D181" s="71"/>
      <c r="E181" s="71" t="s">
        <v>348</v>
      </c>
      <c r="F181" s="86"/>
      <c r="G181" s="84">
        <f t="shared" si="68"/>
        <v>135</v>
      </c>
      <c r="H181" s="84"/>
      <c r="I181" s="405">
        <f>SUM(J181:M181)</f>
        <v>0</v>
      </c>
      <c r="J181" s="405"/>
      <c r="K181" s="405"/>
      <c r="L181" s="405"/>
      <c r="M181" s="419"/>
      <c r="N181" s="89"/>
    </row>
    <row r="182" spans="1:14" ht="21.75" customHeight="1" thickBot="1" x14ac:dyDescent="0.25">
      <c r="A182" s="978"/>
      <c r="B182" s="282" t="s">
        <v>21</v>
      </c>
      <c r="C182" s="282"/>
      <c r="D182" s="1023" t="s">
        <v>471</v>
      </c>
      <c r="E182" s="1025"/>
      <c r="F182" s="292"/>
      <c r="G182" s="284">
        <f t="shared" si="68"/>
        <v>136</v>
      </c>
      <c r="H182" s="284"/>
      <c r="I182" s="415">
        <f>I183+I186+I189</f>
        <v>0</v>
      </c>
      <c r="J182" s="415">
        <f>J183+J187+J189</f>
        <v>0</v>
      </c>
      <c r="K182" s="415">
        <f>K183+K187+K189</f>
        <v>0</v>
      </c>
      <c r="L182" s="415">
        <f>L183+L187+L189</f>
        <v>0</v>
      </c>
      <c r="M182" s="416">
        <f>M183+M187+M189</f>
        <v>0</v>
      </c>
      <c r="N182" s="88">
        <f>N183+N187+N189</f>
        <v>0</v>
      </c>
    </row>
    <row r="183" spans="1:14" ht="13.5" thickBot="1" x14ac:dyDescent="0.25">
      <c r="A183" s="978"/>
      <c r="B183" s="1018"/>
      <c r="C183" s="71" t="s">
        <v>27</v>
      </c>
      <c r="D183" s="973" t="s">
        <v>461</v>
      </c>
      <c r="E183" s="974"/>
      <c r="F183" s="275"/>
      <c r="G183" s="84">
        <f t="shared" si="68"/>
        <v>137</v>
      </c>
      <c r="H183" s="84"/>
      <c r="I183" s="405">
        <f t="shared" ref="I183:M183" si="71">I184+I185</f>
        <v>0</v>
      </c>
      <c r="J183" s="405">
        <f t="shared" si="71"/>
        <v>0</v>
      </c>
      <c r="K183" s="405">
        <f t="shared" si="71"/>
        <v>0</v>
      </c>
      <c r="L183" s="405">
        <f t="shared" si="71"/>
        <v>0</v>
      </c>
      <c r="M183" s="419">
        <f t="shared" si="71"/>
        <v>0</v>
      </c>
      <c r="N183" s="89">
        <f t="shared" ref="N183" si="72">N184+N185</f>
        <v>0</v>
      </c>
    </row>
    <row r="184" spans="1:14" ht="13.5" thickBot="1" x14ac:dyDescent="0.25">
      <c r="A184" s="978"/>
      <c r="B184" s="1019"/>
      <c r="C184" s="71"/>
      <c r="D184" s="71" t="s">
        <v>237</v>
      </c>
      <c r="E184" s="71" t="s">
        <v>294</v>
      </c>
      <c r="F184" s="86">
        <v>666</v>
      </c>
      <c r="G184" s="84">
        <f t="shared" si="68"/>
        <v>138</v>
      </c>
      <c r="H184" s="84"/>
      <c r="I184" s="405">
        <f>SUM(J184:M184)</f>
        <v>0</v>
      </c>
      <c r="J184" s="405"/>
      <c r="K184" s="405"/>
      <c r="L184" s="405"/>
      <c r="M184" s="419"/>
      <c r="N184" s="89"/>
    </row>
    <row r="185" spans="1:14" ht="13.5" thickBot="1" x14ac:dyDescent="0.25">
      <c r="A185" s="978"/>
      <c r="B185" s="1019"/>
      <c r="C185" s="71"/>
      <c r="D185" s="71" t="s">
        <v>66</v>
      </c>
      <c r="E185" s="71" t="s">
        <v>349</v>
      </c>
      <c r="F185" s="86"/>
      <c r="G185" s="84">
        <f t="shared" si="68"/>
        <v>139</v>
      </c>
      <c r="H185" s="84"/>
      <c r="I185" s="405">
        <f>SUM(J185:M185)</f>
        <v>0</v>
      </c>
      <c r="J185" s="441"/>
      <c r="K185" s="441"/>
      <c r="L185" s="441"/>
      <c r="M185" s="442"/>
      <c r="N185" s="112"/>
    </row>
    <row r="186" spans="1:14" ht="21" customHeight="1" thickBot="1" x14ac:dyDescent="0.25">
      <c r="A186" s="978"/>
      <c r="B186" s="1019"/>
      <c r="C186" s="71" t="s">
        <v>38</v>
      </c>
      <c r="D186" s="973" t="s">
        <v>440</v>
      </c>
      <c r="E186" s="974"/>
      <c r="F186" s="275"/>
      <c r="G186" s="84">
        <f t="shared" si="68"/>
        <v>140</v>
      </c>
      <c r="H186" s="515"/>
      <c r="I186" s="419">
        <f>I187+I188</f>
        <v>0</v>
      </c>
      <c r="J186" s="443">
        <f>SUM(J187:J188)</f>
        <v>0</v>
      </c>
      <c r="K186" s="443">
        <f>SUM(K187:K188)</f>
        <v>0</v>
      </c>
      <c r="L186" s="443">
        <f>SUM(L187:L188)</f>
        <v>0</v>
      </c>
      <c r="M186" s="444">
        <f>SUM(M187:M188)</f>
        <v>0</v>
      </c>
      <c r="N186" s="380">
        <f>SUM(N187:N188)</f>
        <v>0</v>
      </c>
    </row>
    <row r="187" spans="1:14" ht="13.5" thickBot="1" x14ac:dyDescent="0.25">
      <c r="A187" s="978"/>
      <c r="B187" s="1019"/>
      <c r="C187" s="71"/>
      <c r="D187" s="71" t="s">
        <v>76</v>
      </c>
      <c r="E187" s="71" t="s">
        <v>294</v>
      </c>
      <c r="F187" s="86">
        <v>665</v>
      </c>
      <c r="G187" s="84">
        <f t="shared" si="68"/>
        <v>141</v>
      </c>
      <c r="H187" s="84"/>
      <c r="I187" s="405">
        <f>SUM(J187:M187)</f>
        <v>0</v>
      </c>
      <c r="J187" s="445"/>
      <c r="K187" s="445"/>
      <c r="L187" s="445"/>
      <c r="M187" s="446"/>
      <c r="N187" s="115"/>
    </row>
    <row r="188" spans="1:14" ht="13.5" thickBot="1" x14ac:dyDescent="0.25">
      <c r="A188" s="978"/>
      <c r="B188" s="1019"/>
      <c r="C188" s="71"/>
      <c r="D188" s="71" t="s">
        <v>99</v>
      </c>
      <c r="E188" s="71" t="s">
        <v>295</v>
      </c>
      <c r="F188" s="86"/>
      <c r="G188" s="84">
        <f t="shared" si="68"/>
        <v>142</v>
      </c>
      <c r="H188" s="84"/>
      <c r="I188" s="405">
        <f>SUM(J188:M188)</f>
        <v>0</v>
      </c>
      <c r="J188" s="405"/>
      <c r="K188" s="405"/>
      <c r="L188" s="405"/>
      <c r="M188" s="419"/>
      <c r="N188" s="89"/>
    </row>
    <row r="189" spans="1:14" ht="13.5" thickBot="1" x14ac:dyDescent="0.25">
      <c r="A189" s="978"/>
      <c r="B189" s="1020"/>
      <c r="C189" s="71" t="s">
        <v>40</v>
      </c>
      <c r="D189" s="973" t="s">
        <v>296</v>
      </c>
      <c r="E189" s="974"/>
      <c r="F189" s="275">
        <v>668</v>
      </c>
      <c r="G189" s="84">
        <f t="shared" si="68"/>
        <v>143</v>
      </c>
      <c r="H189" s="84"/>
      <c r="I189" s="405">
        <f>SUM(J189:M189)</f>
        <v>0</v>
      </c>
      <c r="J189" s="405"/>
      <c r="K189" s="405"/>
      <c r="L189" s="405"/>
      <c r="M189" s="419"/>
      <c r="N189" s="89"/>
    </row>
    <row r="190" spans="1:14" ht="13.5" thickBot="1" x14ac:dyDescent="0.25">
      <c r="A190" s="979"/>
      <c r="B190" s="71" t="s">
        <v>17</v>
      </c>
      <c r="C190" s="319"/>
      <c r="D190" s="1041" t="s">
        <v>129</v>
      </c>
      <c r="E190" s="1042"/>
      <c r="F190" s="320"/>
      <c r="G190" s="84">
        <f t="shared" si="68"/>
        <v>144</v>
      </c>
      <c r="H190" s="84"/>
      <c r="I190" s="405">
        <f>SUM(J190:M190)</f>
        <v>0</v>
      </c>
      <c r="J190" s="447"/>
      <c r="K190" s="447"/>
      <c r="L190" s="447"/>
      <c r="M190" s="448"/>
      <c r="N190" s="117"/>
    </row>
    <row r="191" spans="1:14" ht="13.5" thickBot="1" x14ac:dyDescent="0.25">
      <c r="A191" s="87" t="s">
        <v>130</v>
      </c>
      <c r="B191" s="321"/>
      <c r="C191" s="321"/>
      <c r="D191" s="1023" t="s">
        <v>441</v>
      </c>
      <c r="E191" s="1025"/>
      <c r="F191" s="292"/>
      <c r="G191" s="284">
        <f t="shared" si="68"/>
        <v>145</v>
      </c>
      <c r="H191" s="284"/>
      <c r="I191" s="415">
        <f t="shared" ref="I191:M191" si="73">I10-I41</f>
        <v>247961.01307999995</v>
      </c>
      <c r="J191" s="415">
        <f t="shared" si="73"/>
        <v>9118.343200000003</v>
      </c>
      <c r="K191" s="415">
        <f t="shared" si="73"/>
        <v>12813.309639999992</v>
      </c>
      <c r="L191" s="415">
        <f t="shared" si="73"/>
        <v>208813.04408000002</v>
      </c>
      <c r="M191" s="416">
        <f t="shared" si="73"/>
        <v>17216.316159999929</v>
      </c>
      <c r="N191" s="88">
        <f t="shared" ref="N191" si="74">N10-N41</f>
        <v>0</v>
      </c>
    </row>
    <row r="192" spans="1:14" ht="13.5" thickBot="1" x14ac:dyDescent="0.25">
      <c r="A192" s="87"/>
      <c r="B192" s="321"/>
      <c r="C192" s="321"/>
      <c r="D192" s="322"/>
      <c r="E192" s="322" t="s">
        <v>421</v>
      </c>
      <c r="F192" s="385"/>
      <c r="G192" s="387">
        <v>146</v>
      </c>
      <c r="H192" s="387"/>
      <c r="I192" s="449">
        <f t="shared" ref="I192:M192" si="75">I177</f>
        <v>17856</v>
      </c>
      <c r="J192" s="449">
        <f t="shared" si="75"/>
        <v>4854</v>
      </c>
      <c r="K192" s="449">
        <f t="shared" si="75"/>
        <v>3824</v>
      </c>
      <c r="L192" s="449">
        <f t="shared" si="75"/>
        <v>5125</v>
      </c>
      <c r="M192" s="450">
        <f t="shared" si="75"/>
        <v>4053</v>
      </c>
      <c r="N192" s="324">
        <f t="shared" ref="N192" si="76">N177</f>
        <v>0</v>
      </c>
    </row>
    <row r="193" spans="1:14" ht="13.5" thickBot="1" x14ac:dyDescent="0.25">
      <c r="A193" s="84"/>
      <c r="B193" s="71"/>
      <c r="C193" s="71"/>
      <c r="D193" s="322"/>
      <c r="E193" s="322" t="s">
        <v>297</v>
      </c>
      <c r="F193" s="385"/>
      <c r="G193" s="386">
        <v>147</v>
      </c>
      <c r="H193" s="386"/>
      <c r="I193" s="432">
        <f>I174</f>
        <v>0</v>
      </c>
      <c r="J193" s="432">
        <f>J$174</f>
        <v>0</v>
      </c>
      <c r="K193" s="432">
        <f>K$174</f>
        <v>0</v>
      </c>
      <c r="L193" s="432">
        <f>L$174</f>
        <v>0</v>
      </c>
      <c r="M193" s="432">
        <f>M$174</f>
        <v>0</v>
      </c>
      <c r="N193" s="242">
        <f>N173</f>
        <v>0</v>
      </c>
    </row>
    <row r="194" spans="1:14" ht="13.5" thickBot="1" x14ac:dyDescent="0.25">
      <c r="A194" s="87" t="s">
        <v>132</v>
      </c>
      <c r="B194" s="321"/>
      <c r="C194" s="321"/>
      <c r="D194" s="1023" t="s">
        <v>133</v>
      </c>
      <c r="E194" s="1025"/>
      <c r="F194" s="292"/>
      <c r="G194" s="284">
        <f t="shared" si="68"/>
        <v>148</v>
      </c>
      <c r="H194" s="284"/>
      <c r="I194" s="415">
        <f>SUM(J194:M194)</f>
        <v>39673.762092799996</v>
      </c>
      <c r="J194" s="415">
        <f t="shared" ref="J194:M194" si="77">(J191+J193)*16%</f>
        <v>1458.9349120000004</v>
      </c>
      <c r="K194" s="415">
        <f t="shared" si="77"/>
        <v>2050.1295423999986</v>
      </c>
      <c r="L194" s="415">
        <f t="shared" si="77"/>
        <v>33410.087052800001</v>
      </c>
      <c r="M194" s="416">
        <f t="shared" si="77"/>
        <v>2754.6105855999886</v>
      </c>
      <c r="N194" s="88">
        <f>(N191+N193)*16%</f>
        <v>0</v>
      </c>
    </row>
    <row r="195" spans="1:14" x14ac:dyDescent="0.2">
      <c r="A195" s="326" t="s">
        <v>134</v>
      </c>
      <c r="B195" s="330"/>
      <c r="C195" s="331"/>
      <c r="D195" s="1043" t="s">
        <v>422</v>
      </c>
      <c r="E195" s="1044"/>
      <c r="F195" s="338"/>
      <c r="G195" s="339">
        <v>149</v>
      </c>
      <c r="H195" s="339"/>
      <c r="I195" s="451"/>
      <c r="J195" s="451"/>
      <c r="K195" s="451"/>
      <c r="L195" s="451"/>
      <c r="M195" s="452"/>
      <c r="N195" s="381"/>
    </row>
    <row r="196" spans="1:14" x14ac:dyDescent="0.2">
      <c r="A196" s="327" t="s">
        <v>141</v>
      </c>
      <c r="B196" s="332"/>
      <c r="C196" s="333"/>
      <c r="D196" s="1035" t="s">
        <v>423</v>
      </c>
      <c r="E196" s="1036"/>
      <c r="F196" s="325"/>
      <c r="G196" s="121">
        <v>150</v>
      </c>
      <c r="H196" s="121"/>
      <c r="I196" s="453"/>
      <c r="J196" s="453"/>
      <c r="K196" s="453"/>
      <c r="L196" s="453"/>
      <c r="M196" s="454"/>
      <c r="N196" s="382"/>
    </row>
    <row r="197" spans="1:14" x14ac:dyDescent="0.2">
      <c r="A197" s="328" t="s">
        <v>143</v>
      </c>
      <c r="B197" s="334"/>
      <c r="C197" s="335"/>
      <c r="D197" s="1037" t="s">
        <v>424</v>
      </c>
      <c r="E197" s="1038"/>
      <c r="F197" s="280"/>
      <c r="G197" s="251">
        <v>151</v>
      </c>
      <c r="H197" s="251"/>
      <c r="I197" s="455"/>
      <c r="J197" s="455"/>
      <c r="K197" s="455"/>
      <c r="L197" s="455"/>
      <c r="M197" s="456"/>
      <c r="N197" s="383"/>
    </row>
    <row r="198" spans="1:14" ht="22.5" customHeight="1" thickBot="1" x14ac:dyDescent="0.25">
      <c r="A198" s="329" t="s">
        <v>150</v>
      </c>
      <c r="B198" s="336"/>
      <c r="C198" s="337"/>
      <c r="D198" s="1039" t="s">
        <v>425</v>
      </c>
      <c r="E198" s="1040"/>
      <c r="F198" s="341"/>
      <c r="G198" s="342">
        <v>152</v>
      </c>
      <c r="H198" s="342"/>
      <c r="I198" s="457"/>
      <c r="J198" s="457"/>
      <c r="K198" s="457"/>
      <c r="L198" s="457"/>
      <c r="M198" s="458"/>
      <c r="N198" s="384"/>
    </row>
  </sheetData>
  <mergeCells count="122">
    <mergeCell ref="D196:E196"/>
    <mergeCell ref="D197:E197"/>
    <mergeCell ref="D198:E198"/>
    <mergeCell ref="D186:E186"/>
    <mergeCell ref="D189:E189"/>
    <mergeCell ref="D190:E190"/>
    <mergeCell ref="D191:E191"/>
    <mergeCell ref="D194:E194"/>
    <mergeCell ref="D195:E195"/>
    <mergeCell ref="D169:E169"/>
    <mergeCell ref="A170:A190"/>
    <mergeCell ref="B170:B173"/>
    <mergeCell ref="D170:E170"/>
    <mergeCell ref="D171:E171"/>
    <mergeCell ref="D172:E172"/>
    <mergeCell ref="D173:E173"/>
    <mergeCell ref="D182:E182"/>
    <mergeCell ref="B183:B189"/>
    <mergeCell ref="D183:E183"/>
    <mergeCell ref="A120:A169"/>
    <mergeCell ref="B120:B169"/>
    <mergeCell ref="D163:E163"/>
    <mergeCell ref="D164:E164"/>
    <mergeCell ref="C165:E165"/>
    <mergeCell ref="D166:E166"/>
    <mergeCell ref="D167:E167"/>
    <mergeCell ref="D168:E168"/>
    <mergeCell ref="D157:E157"/>
    <mergeCell ref="D158:E158"/>
    <mergeCell ref="D159:E159"/>
    <mergeCell ref="D160:E160"/>
    <mergeCell ref="D161:E161"/>
    <mergeCell ref="D162:E162"/>
    <mergeCell ref="D147:E147"/>
    <mergeCell ref="D148:E148"/>
    <mergeCell ref="D149:E149"/>
    <mergeCell ref="C150:C156"/>
    <mergeCell ref="D150:E150"/>
    <mergeCell ref="D153:E153"/>
    <mergeCell ref="D156:E156"/>
    <mergeCell ref="D141:E141"/>
    <mergeCell ref="D142:E142"/>
    <mergeCell ref="D143:E143"/>
    <mergeCell ref="D144:E144"/>
    <mergeCell ref="D145:E145"/>
    <mergeCell ref="D146:E146"/>
    <mergeCell ref="C134:C136"/>
    <mergeCell ref="D134:E134"/>
    <mergeCell ref="D135:E135"/>
    <mergeCell ref="D136:E136"/>
    <mergeCell ref="D137:E137"/>
    <mergeCell ref="D138:E138"/>
    <mergeCell ref="D117:E117"/>
    <mergeCell ref="D118:E118"/>
    <mergeCell ref="D119:E119"/>
    <mergeCell ref="D120:E120"/>
    <mergeCell ref="D121:E121"/>
    <mergeCell ref="C131:E131"/>
    <mergeCell ref="D132:E132"/>
    <mergeCell ref="D133:E133"/>
    <mergeCell ref="D65:E65"/>
    <mergeCell ref="D66:E66"/>
    <mergeCell ref="D70:E70"/>
    <mergeCell ref="D99:E99"/>
    <mergeCell ref="D100:E100"/>
    <mergeCell ref="D101:E101"/>
    <mergeCell ref="D110:E110"/>
    <mergeCell ref="C115:E115"/>
    <mergeCell ref="D116:E116"/>
    <mergeCell ref="D93:E93"/>
    <mergeCell ref="D94:E94"/>
    <mergeCell ref="D95:E95"/>
    <mergeCell ref="D96:E96"/>
    <mergeCell ref="D97:E97"/>
    <mergeCell ref="D98:E98"/>
    <mergeCell ref="A71:A119"/>
    <mergeCell ref="B71:B119"/>
    <mergeCell ref="D74:E74"/>
    <mergeCell ref="D75:E75"/>
    <mergeCell ref="D76:E76"/>
    <mergeCell ref="D40:E40"/>
    <mergeCell ref="B41:E41"/>
    <mergeCell ref="A42:A70"/>
    <mergeCell ref="C42:E42"/>
    <mergeCell ref="B43:B70"/>
    <mergeCell ref="C43:E43"/>
    <mergeCell ref="D44:E44"/>
    <mergeCell ref="D45:E45"/>
    <mergeCell ref="D46:E46"/>
    <mergeCell ref="D57:E57"/>
    <mergeCell ref="A11:A40"/>
    <mergeCell ref="D77:E77"/>
    <mergeCell ref="D78:E78"/>
    <mergeCell ref="D79:E79"/>
    <mergeCell ref="D86:E86"/>
    <mergeCell ref="D91:E91"/>
    <mergeCell ref="D92:E92"/>
    <mergeCell ref="D58:E58"/>
    <mergeCell ref="D64:E64"/>
    <mergeCell ref="A1:D1"/>
    <mergeCell ref="A2:D2"/>
    <mergeCell ref="A3:D3"/>
    <mergeCell ref="E4:J4"/>
    <mergeCell ref="E5:J5"/>
    <mergeCell ref="A8:B8"/>
    <mergeCell ref="D26:E26"/>
    <mergeCell ref="D34:E34"/>
    <mergeCell ref="B35:B39"/>
    <mergeCell ref="D35:E35"/>
    <mergeCell ref="D36:E36"/>
    <mergeCell ref="D37:E37"/>
    <mergeCell ref="D38:E38"/>
    <mergeCell ref="D39:E39"/>
    <mergeCell ref="B10:E10"/>
    <mergeCell ref="C11:E11"/>
    <mergeCell ref="B12:B25"/>
    <mergeCell ref="D12:E12"/>
    <mergeCell ref="D20:E20"/>
    <mergeCell ref="D21:E21"/>
    <mergeCell ref="C22:C23"/>
    <mergeCell ref="D24:E24"/>
    <mergeCell ref="D25:E2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8"/>
  <sheetViews>
    <sheetView workbookViewId="0">
      <selection activeCell="P139" sqref="P139"/>
    </sheetView>
  </sheetViews>
  <sheetFormatPr defaultRowHeight="12.75" x14ac:dyDescent="0.2"/>
  <cols>
    <col min="1" max="1" width="3.42578125" bestFit="1" customWidth="1"/>
    <col min="2" max="2" width="1.85546875" bestFit="1" customWidth="1"/>
    <col min="3" max="3" width="3" bestFit="1" customWidth="1"/>
    <col min="4" max="4" width="4.7109375" bestFit="1" customWidth="1"/>
    <col min="5" max="5" width="48" customWidth="1"/>
    <col min="6" max="6" width="15.85546875" customWidth="1"/>
    <col min="7" max="7" width="4.42578125" bestFit="1" customWidth="1"/>
    <col min="8" max="8" width="7.5703125" customWidth="1"/>
    <col min="9" max="12" width="10.42578125" bestFit="1" customWidth="1"/>
    <col min="13" max="13" width="8.7109375" bestFit="1" customWidth="1"/>
    <col min="14" max="14" width="11.7109375" customWidth="1"/>
  </cols>
  <sheetData>
    <row r="1" spans="1:14" x14ac:dyDescent="0.2">
      <c r="A1" s="938" t="s">
        <v>0</v>
      </c>
      <c r="B1" s="938"/>
      <c r="C1" s="938"/>
      <c r="D1" s="938"/>
      <c r="E1" s="27" t="s">
        <v>674</v>
      </c>
    </row>
    <row r="2" spans="1:14" x14ac:dyDescent="0.2">
      <c r="A2" s="938" t="s">
        <v>1</v>
      </c>
      <c r="B2" s="938"/>
      <c r="C2" s="938"/>
      <c r="D2" s="938"/>
      <c r="E2" s="272"/>
      <c r="F2" s="272"/>
      <c r="G2" s="51"/>
      <c r="H2" s="51"/>
      <c r="I2" s="51"/>
      <c r="J2" s="51"/>
      <c r="K2" s="53" t="s">
        <v>11</v>
      </c>
      <c r="L2" s="51"/>
      <c r="M2" s="51"/>
    </row>
    <row r="3" spans="1:14" x14ac:dyDescent="0.2">
      <c r="A3" s="938" t="s">
        <v>2</v>
      </c>
      <c r="B3" s="938"/>
      <c r="C3" s="938"/>
      <c r="D3" s="938"/>
      <c r="E3" s="272"/>
      <c r="F3" s="272"/>
      <c r="G3" s="51"/>
      <c r="H3" s="51"/>
      <c r="I3" s="51"/>
      <c r="J3" s="51"/>
      <c r="K3" s="51"/>
      <c r="L3" s="51"/>
      <c r="M3" s="51"/>
    </row>
    <row r="4" spans="1:14" x14ac:dyDescent="0.2">
      <c r="A4" s="272"/>
      <c r="B4" s="272"/>
      <c r="C4" s="272"/>
      <c r="D4" s="51"/>
      <c r="E4" s="1047" t="s">
        <v>3</v>
      </c>
      <c r="F4" s="1047"/>
      <c r="G4" s="1047"/>
      <c r="H4" s="1047"/>
      <c r="I4" s="1047"/>
      <c r="J4" s="1047"/>
      <c r="K4" s="83"/>
      <c r="L4" s="83"/>
      <c r="M4" s="51">
        <v>1000</v>
      </c>
    </row>
    <row r="5" spans="1:14" x14ac:dyDescent="0.2">
      <c r="A5" s="272"/>
      <c r="B5" s="272"/>
      <c r="C5" s="272"/>
      <c r="D5" s="83"/>
      <c r="E5" s="1048" t="s">
        <v>657</v>
      </c>
      <c r="F5" s="1048"/>
      <c r="G5" s="1048"/>
      <c r="H5" s="1048"/>
      <c r="I5" s="1048"/>
      <c r="J5" s="1048"/>
      <c r="K5" s="83"/>
      <c r="L5" s="51"/>
      <c r="M5" s="51"/>
    </row>
    <row r="6" spans="1:14" x14ac:dyDescent="0.2">
      <c r="A6" s="272"/>
      <c r="B6" s="272"/>
      <c r="C6" s="272"/>
      <c r="D6" s="83"/>
      <c r="E6" s="83"/>
      <c r="F6" s="83"/>
      <c r="G6" s="83"/>
      <c r="H6" s="83"/>
      <c r="I6" s="83"/>
      <c r="J6" s="83"/>
      <c r="K6" s="83"/>
      <c r="L6" s="51"/>
      <c r="M6" s="51"/>
    </row>
    <row r="7" spans="1:14" ht="13.5" thickBot="1" x14ac:dyDescent="0.25">
      <c r="A7" s="272"/>
      <c r="B7" s="272"/>
      <c r="C7" s="272"/>
      <c r="D7" s="83"/>
      <c r="E7" s="272"/>
      <c r="F7" s="272"/>
      <c r="G7" s="83"/>
      <c r="H7" s="83"/>
      <c r="I7" s="83"/>
      <c r="J7" s="83"/>
      <c r="K7" s="83"/>
      <c r="L7" s="51"/>
      <c r="M7" s="51"/>
    </row>
    <row r="8" spans="1:14" ht="31.5" customHeight="1" thickBot="1" x14ac:dyDescent="0.25">
      <c r="A8" s="980" t="s">
        <v>308</v>
      </c>
      <c r="B8" s="981"/>
      <c r="C8" s="84"/>
      <c r="D8" s="84"/>
      <c r="E8" s="85" t="s">
        <v>15</v>
      </c>
      <c r="F8" s="85" t="s">
        <v>551</v>
      </c>
      <c r="G8" s="84" t="s">
        <v>309</v>
      </c>
      <c r="H8" s="84"/>
      <c r="I8" s="86" t="s">
        <v>661</v>
      </c>
      <c r="J8" s="84" t="s">
        <v>310</v>
      </c>
      <c r="K8" s="84" t="s">
        <v>311</v>
      </c>
      <c r="L8" s="84" t="s">
        <v>312</v>
      </c>
      <c r="M8" s="273" t="s">
        <v>313</v>
      </c>
      <c r="N8" s="379" t="s">
        <v>658</v>
      </c>
    </row>
    <row r="9" spans="1:14" ht="13.5" thickBot="1" x14ac:dyDescent="0.25">
      <c r="A9" s="84" t="s">
        <v>30</v>
      </c>
      <c r="B9" s="84"/>
      <c r="C9" s="84"/>
      <c r="D9" s="84"/>
      <c r="E9" s="85" t="s">
        <v>4</v>
      </c>
      <c r="F9" s="281"/>
      <c r="G9" s="84" t="s">
        <v>314</v>
      </c>
      <c r="H9" s="84"/>
      <c r="I9" s="84" t="s">
        <v>21</v>
      </c>
      <c r="J9" s="84" t="s">
        <v>17</v>
      </c>
      <c r="K9" s="84" t="s">
        <v>18</v>
      </c>
      <c r="L9" s="84" t="s">
        <v>24</v>
      </c>
      <c r="M9" s="273" t="s">
        <v>19</v>
      </c>
      <c r="N9" s="377"/>
    </row>
    <row r="10" spans="1:14" ht="13.5" thickBot="1" x14ac:dyDescent="0.25">
      <c r="A10" s="87" t="s">
        <v>215</v>
      </c>
      <c r="B10" s="968" t="s">
        <v>462</v>
      </c>
      <c r="C10" s="1011"/>
      <c r="D10" s="1011"/>
      <c r="E10" s="969"/>
      <c r="F10" s="274"/>
      <c r="G10" s="87" t="s">
        <v>4</v>
      </c>
      <c r="H10" s="87"/>
      <c r="I10" s="415">
        <f t="shared" ref="I10:N10" si="0">I11+I34+I40</f>
        <v>3337086</v>
      </c>
      <c r="J10" s="415">
        <f t="shared" si="0"/>
        <v>750610</v>
      </c>
      <c r="K10" s="415">
        <f t="shared" si="0"/>
        <v>781019</v>
      </c>
      <c r="L10" s="415">
        <f t="shared" si="0"/>
        <v>937309</v>
      </c>
      <c r="M10" s="416">
        <f t="shared" si="0"/>
        <v>868148</v>
      </c>
      <c r="N10" s="88">
        <f t="shared" si="0"/>
        <v>0</v>
      </c>
    </row>
    <row r="11" spans="1:14" ht="13.5" thickBot="1" x14ac:dyDescent="0.25">
      <c r="A11" s="977"/>
      <c r="B11" s="282" t="s">
        <v>4</v>
      </c>
      <c r="C11" s="1015" t="s">
        <v>113</v>
      </c>
      <c r="D11" s="1016"/>
      <c r="E11" s="1017"/>
      <c r="F11" s="283"/>
      <c r="G11" s="284">
        <f>G10+1</f>
        <v>2</v>
      </c>
      <c r="H11" s="284"/>
      <c r="I11" s="417">
        <f t="shared" ref="I11:N11" si="1">I12+I20+I21+I24+I25+I26</f>
        <v>3337066</v>
      </c>
      <c r="J11" s="417">
        <f t="shared" si="1"/>
        <v>750605</v>
      </c>
      <c r="K11" s="417">
        <f t="shared" si="1"/>
        <v>781014</v>
      </c>
      <c r="L11" s="417">
        <f t="shared" si="1"/>
        <v>937304</v>
      </c>
      <c r="M11" s="418">
        <f t="shared" si="1"/>
        <v>868143</v>
      </c>
      <c r="N11" s="285">
        <f t="shared" si="1"/>
        <v>0</v>
      </c>
    </row>
    <row r="12" spans="1:14" ht="13.5" thickBot="1" x14ac:dyDescent="0.25">
      <c r="A12" s="978"/>
      <c r="B12" s="1018"/>
      <c r="C12" s="71" t="s">
        <v>27</v>
      </c>
      <c r="D12" s="973" t="s">
        <v>315</v>
      </c>
      <c r="E12" s="974"/>
      <c r="F12" s="275">
        <v>70</v>
      </c>
      <c r="G12" s="84">
        <f>G11+1</f>
        <v>3</v>
      </c>
      <c r="H12" s="84"/>
      <c r="I12" s="405">
        <f t="shared" ref="I12:N12" si="2">I13+I14+I18+I19</f>
        <v>3021666</v>
      </c>
      <c r="J12" s="405">
        <f t="shared" si="2"/>
        <v>746905</v>
      </c>
      <c r="K12" s="405">
        <f t="shared" si="2"/>
        <v>777014</v>
      </c>
      <c r="L12" s="405">
        <f t="shared" si="2"/>
        <v>783304</v>
      </c>
      <c r="M12" s="419">
        <f t="shared" si="2"/>
        <v>714443</v>
      </c>
      <c r="N12" s="89">
        <f t="shared" si="2"/>
        <v>0</v>
      </c>
    </row>
    <row r="13" spans="1:14" ht="13.5" thickBot="1" x14ac:dyDescent="0.25">
      <c r="A13" s="978"/>
      <c r="B13" s="1019"/>
      <c r="C13" s="71"/>
      <c r="D13" s="71" t="s">
        <v>237</v>
      </c>
      <c r="E13" s="71" t="s">
        <v>316</v>
      </c>
      <c r="F13" s="86"/>
      <c r="G13" s="84">
        <f t="shared" ref="G13:G76" si="3">G12+1</f>
        <v>4</v>
      </c>
      <c r="H13" s="84"/>
      <c r="I13" s="405">
        <f>SUM(J13:M13)</f>
        <v>0</v>
      </c>
      <c r="J13" s="405"/>
      <c r="K13" s="405"/>
      <c r="L13" s="405"/>
      <c r="M13" s="419"/>
      <c r="N13" s="89"/>
    </row>
    <row r="14" spans="1:14" ht="13.5" thickBot="1" x14ac:dyDescent="0.25">
      <c r="A14" s="978"/>
      <c r="B14" s="1019"/>
      <c r="C14" s="71"/>
      <c r="D14" s="71" t="s">
        <v>66</v>
      </c>
      <c r="E14" s="71" t="s">
        <v>317</v>
      </c>
      <c r="F14" s="86">
        <v>704</v>
      </c>
      <c r="G14" s="84">
        <f>G13+1</f>
        <v>5</v>
      </c>
      <c r="H14" s="84"/>
      <c r="I14" s="405">
        <f>SUM(J14:M14)</f>
        <v>3018116</v>
      </c>
      <c r="J14" s="402">
        <f>SUM(J15:J17)</f>
        <v>746215</v>
      </c>
      <c r="K14" s="402">
        <f>SUM(K15:K17)</f>
        <v>776084</v>
      </c>
      <c r="L14" s="402">
        <f>SUM(L15:L17)</f>
        <v>782304</v>
      </c>
      <c r="M14" s="402">
        <f>SUM(M15:M17)</f>
        <v>713513</v>
      </c>
      <c r="N14" s="91"/>
    </row>
    <row r="15" spans="1:14" ht="13.5" thickBot="1" x14ac:dyDescent="0.25">
      <c r="A15" s="978"/>
      <c r="B15" s="1019"/>
      <c r="C15" s="71"/>
      <c r="D15" s="71"/>
      <c r="E15" s="71"/>
      <c r="F15" s="286" t="s">
        <v>552</v>
      </c>
      <c r="G15" s="84"/>
      <c r="H15" s="84"/>
      <c r="I15" s="405"/>
      <c r="J15" s="402">
        <v>473763</v>
      </c>
      <c r="K15" s="402">
        <v>472188</v>
      </c>
      <c r="L15" s="402">
        <v>507858</v>
      </c>
      <c r="M15" s="403">
        <v>437984</v>
      </c>
      <c r="N15" s="91"/>
    </row>
    <row r="16" spans="1:14" ht="13.5" thickBot="1" x14ac:dyDescent="0.25">
      <c r="A16" s="978"/>
      <c r="B16" s="1019"/>
      <c r="C16" s="71"/>
      <c r="D16" s="71"/>
      <c r="E16" s="71"/>
      <c r="F16" s="286" t="s">
        <v>553</v>
      </c>
      <c r="G16" s="84"/>
      <c r="H16" s="84"/>
      <c r="I16" s="405"/>
      <c r="J16" s="402">
        <v>269952</v>
      </c>
      <c r="K16" s="402">
        <v>301396</v>
      </c>
      <c r="L16" s="402">
        <v>271946</v>
      </c>
      <c r="M16" s="403">
        <v>273029</v>
      </c>
      <c r="N16" s="91"/>
    </row>
    <row r="17" spans="1:14" ht="13.5" thickBot="1" x14ac:dyDescent="0.25">
      <c r="A17" s="978"/>
      <c r="B17" s="1019"/>
      <c r="C17" s="71"/>
      <c r="D17" s="71"/>
      <c r="E17" s="71"/>
      <c r="F17" s="286" t="s">
        <v>554</v>
      </c>
      <c r="G17" s="84"/>
      <c r="H17" s="84"/>
      <c r="I17" s="405"/>
      <c r="J17" s="402">
        <v>2500</v>
      </c>
      <c r="K17" s="402">
        <v>2500</v>
      </c>
      <c r="L17" s="402">
        <v>2500</v>
      </c>
      <c r="M17" s="402">
        <v>2500</v>
      </c>
      <c r="N17" s="91"/>
    </row>
    <row r="18" spans="1:14" ht="13.5" thickBot="1" x14ac:dyDescent="0.25">
      <c r="A18" s="978"/>
      <c r="B18" s="1019"/>
      <c r="C18" s="71"/>
      <c r="D18" s="71" t="s">
        <v>318</v>
      </c>
      <c r="E18" s="71" t="s">
        <v>319</v>
      </c>
      <c r="F18" s="86" t="s">
        <v>555</v>
      </c>
      <c r="G18" s="84">
        <f>G14+1</f>
        <v>6</v>
      </c>
      <c r="H18" s="84"/>
      <c r="I18" s="405">
        <f>SUM(J18:M18)</f>
        <v>0</v>
      </c>
      <c r="J18" s="402"/>
      <c r="K18" s="402"/>
      <c r="L18" s="402"/>
      <c r="M18" s="403"/>
      <c r="N18" s="289"/>
    </row>
    <row r="19" spans="1:14" ht="23.25" thickBot="1" x14ac:dyDescent="0.25">
      <c r="A19" s="978"/>
      <c r="B19" s="1019"/>
      <c r="C19" s="71"/>
      <c r="D19" s="71" t="s">
        <v>320</v>
      </c>
      <c r="E19" s="71" t="s">
        <v>321</v>
      </c>
      <c r="F19" s="86" t="s">
        <v>556</v>
      </c>
      <c r="G19" s="84">
        <f t="shared" si="3"/>
        <v>7</v>
      </c>
      <c r="H19" s="84"/>
      <c r="I19" s="405">
        <f>SUM(J19:M19)</f>
        <v>3550</v>
      </c>
      <c r="J19" s="402">
        <v>690</v>
      </c>
      <c r="K19" s="402">
        <v>930</v>
      </c>
      <c r="L19" s="402">
        <v>1000</v>
      </c>
      <c r="M19" s="403">
        <v>930</v>
      </c>
      <c r="N19" s="289"/>
    </row>
    <row r="20" spans="1:14" ht="13.5" thickBot="1" x14ac:dyDescent="0.25">
      <c r="A20" s="978"/>
      <c r="B20" s="1019"/>
      <c r="C20" s="71" t="s">
        <v>38</v>
      </c>
      <c r="D20" s="973" t="s">
        <v>322</v>
      </c>
      <c r="E20" s="974"/>
      <c r="F20" s="275"/>
      <c r="G20" s="84">
        <f t="shared" si="3"/>
        <v>8</v>
      </c>
      <c r="H20" s="84"/>
      <c r="I20" s="405"/>
      <c r="J20" s="405"/>
      <c r="K20" s="405"/>
      <c r="L20" s="405"/>
      <c r="M20" s="419"/>
      <c r="N20" s="89"/>
    </row>
    <row r="21" spans="1:14" ht="26.25" customHeight="1" thickBot="1" x14ac:dyDescent="0.25">
      <c r="A21" s="978"/>
      <c r="B21" s="1019"/>
      <c r="C21" s="71" t="s">
        <v>40</v>
      </c>
      <c r="D21" s="973" t="s">
        <v>323</v>
      </c>
      <c r="E21" s="974"/>
      <c r="F21" s="275"/>
      <c r="G21" s="84">
        <f t="shared" si="3"/>
        <v>9</v>
      </c>
      <c r="H21" s="84"/>
      <c r="I21" s="405">
        <f t="shared" ref="I21:N21" si="4">I22+I23</f>
        <v>0</v>
      </c>
      <c r="J21" s="405">
        <f t="shared" si="4"/>
        <v>0</v>
      </c>
      <c r="K21" s="405">
        <f t="shared" si="4"/>
        <v>0</v>
      </c>
      <c r="L21" s="405">
        <f t="shared" si="4"/>
        <v>0</v>
      </c>
      <c r="M21" s="419">
        <f t="shared" si="4"/>
        <v>0</v>
      </c>
      <c r="N21" s="89">
        <f t="shared" si="4"/>
        <v>0</v>
      </c>
    </row>
    <row r="22" spans="1:14" ht="23.25" thickBot="1" x14ac:dyDescent="0.25">
      <c r="A22" s="978"/>
      <c r="B22" s="1019"/>
      <c r="C22" s="1018"/>
      <c r="D22" s="71" t="s">
        <v>324</v>
      </c>
      <c r="E22" s="71" t="s">
        <v>325</v>
      </c>
      <c r="F22" s="86" t="s">
        <v>557</v>
      </c>
      <c r="G22" s="84">
        <f t="shared" si="3"/>
        <v>10</v>
      </c>
      <c r="H22" s="84"/>
      <c r="I22" s="405">
        <f>SUM(J22:M22)</f>
        <v>0</v>
      </c>
      <c r="J22" s="405"/>
      <c r="K22" s="405"/>
      <c r="L22" s="405"/>
      <c r="M22" s="419"/>
      <c r="N22" s="378"/>
    </row>
    <row r="23" spans="1:14" ht="13.5" thickBot="1" x14ac:dyDescent="0.25">
      <c r="A23" s="978"/>
      <c r="B23" s="1019"/>
      <c r="C23" s="1020"/>
      <c r="D23" s="71" t="s">
        <v>67</v>
      </c>
      <c r="E23" s="71" t="s">
        <v>32</v>
      </c>
      <c r="F23" s="86"/>
      <c r="G23" s="84">
        <f t="shared" si="3"/>
        <v>11</v>
      </c>
      <c r="H23" s="84"/>
      <c r="I23" s="405">
        <f>SUM(J23:M23)</f>
        <v>0</v>
      </c>
      <c r="J23" s="405"/>
      <c r="K23" s="405"/>
      <c r="L23" s="405"/>
      <c r="M23" s="419"/>
      <c r="N23" s="378"/>
    </row>
    <row r="24" spans="1:14" ht="23.25" thickBot="1" x14ac:dyDescent="0.25">
      <c r="A24" s="978"/>
      <c r="B24" s="1019"/>
      <c r="C24" s="71" t="s">
        <v>42</v>
      </c>
      <c r="D24" s="973" t="s">
        <v>326</v>
      </c>
      <c r="E24" s="974"/>
      <c r="F24" s="275" t="s">
        <v>558</v>
      </c>
      <c r="G24" s="84">
        <f t="shared" si="3"/>
        <v>12</v>
      </c>
      <c r="H24" s="84"/>
      <c r="I24" s="402">
        <f>SUM(J24:M24)</f>
        <v>300000</v>
      </c>
      <c r="J24" s="402"/>
      <c r="K24" s="402"/>
      <c r="L24" s="402">
        <v>150000</v>
      </c>
      <c r="M24" s="403">
        <v>150000</v>
      </c>
      <c r="N24" s="378"/>
    </row>
    <row r="25" spans="1:14" ht="13.5" thickBot="1" x14ac:dyDescent="0.25">
      <c r="A25" s="978"/>
      <c r="B25" s="1020"/>
      <c r="C25" s="71" t="s">
        <v>28</v>
      </c>
      <c r="D25" s="973" t="s">
        <v>327</v>
      </c>
      <c r="E25" s="974"/>
      <c r="F25" s="275"/>
      <c r="G25" s="84">
        <f t="shared" si="3"/>
        <v>13</v>
      </c>
      <c r="H25" s="84"/>
      <c r="I25" s="402"/>
      <c r="J25" s="402"/>
      <c r="K25" s="402"/>
      <c r="L25" s="402"/>
      <c r="M25" s="403"/>
      <c r="N25" s="378"/>
    </row>
    <row r="26" spans="1:14" ht="25.5" customHeight="1" thickBot="1" x14ac:dyDescent="0.25">
      <c r="A26" s="978"/>
      <c r="B26" s="71"/>
      <c r="C26" s="71" t="s">
        <v>34</v>
      </c>
      <c r="D26" s="973" t="s">
        <v>328</v>
      </c>
      <c r="E26" s="974"/>
      <c r="F26" s="275"/>
      <c r="G26" s="84">
        <f>G25+1</f>
        <v>14</v>
      </c>
      <c r="H26" s="84"/>
      <c r="I26" s="402">
        <f t="shared" ref="I26:N26" si="5">I27+I28+I31+I32+I33</f>
        <v>15400</v>
      </c>
      <c r="J26" s="402">
        <f t="shared" si="5"/>
        <v>3700</v>
      </c>
      <c r="K26" s="402">
        <f t="shared" si="5"/>
        <v>4000</v>
      </c>
      <c r="L26" s="402">
        <f t="shared" si="5"/>
        <v>4000</v>
      </c>
      <c r="M26" s="403">
        <f t="shared" si="5"/>
        <v>3700</v>
      </c>
      <c r="N26" s="93">
        <f t="shared" si="5"/>
        <v>0</v>
      </c>
    </row>
    <row r="27" spans="1:14" ht="34.5" thickBot="1" x14ac:dyDescent="0.25">
      <c r="A27" s="978"/>
      <c r="B27" s="71"/>
      <c r="C27" s="71"/>
      <c r="D27" s="71" t="s">
        <v>329</v>
      </c>
      <c r="E27" s="71" t="s">
        <v>330</v>
      </c>
      <c r="F27" s="86" t="s">
        <v>559</v>
      </c>
      <c r="G27" s="84">
        <f t="shared" si="3"/>
        <v>15</v>
      </c>
      <c r="H27" s="84"/>
      <c r="I27" s="402">
        <f>SUM(J27:M27)</f>
        <v>15400</v>
      </c>
      <c r="J27" s="402">
        <v>3700</v>
      </c>
      <c r="K27" s="402">
        <v>4000</v>
      </c>
      <c r="L27" s="402">
        <v>4000</v>
      </c>
      <c r="M27" s="403">
        <v>3700</v>
      </c>
      <c r="N27" s="378"/>
    </row>
    <row r="28" spans="1:14" ht="23.25" thickBot="1" x14ac:dyDescent="0.25">
      <c r="A28" s="978"/>
      <c r="B28" s="71"/>
      <c r="C28" s="71"/>
      <c r="D28" s="71" t="s">
        <v>52</v>
      </c>
      <c r="E28" s="71" t="s">
        <v>331</v>
      </c>
      <c r="F28" s="86"/>
      <c r="G28" s="84">
        <f t="shared" si="3"/>
        <v>16</v>
      </c>
      <c r="H28" s="84"/>
      <c r="I28" s="402">
        <f t="shared" ref="I28:N28" si="6">SUM(I29:I30)</f>
        <v>0</v>
      </c>
      <c r="J28" s="402">
        <f t="shared" si="6"/>
        <v>0</v>
      </c>
      <c r="K28" s="402">
        <f t="shared" si="6"/>
        <v>0</v>
      </c>
      <c r="L28" s="402">
        <f t="shared" si="6"/>
        <v>0</v>
      </c>
      <c r="M28" s="403">
        <f t="shared" si="6"/>
        <v>0</v>
      </c>
      <c r="N28" s="93">
        <f t="shared" si="6"/>
        <v>0</v>
      </c>
    </row>
    <row r="29" spans="1:14" ht="23.25" thickBot="1" x14ac:dyDescent="0.25">
      <c r="A29" s="978"/>
      <c r="B29" s="71"/>
      <c r="C29" s="71"/>
      <c r="D29" s="71"/>
      <c r="E29" s="71" t="s">
        <v>332</v>
      </c>
      <c r="F29" s="86" t="s">
        <v>560</v>
      </c>
      <c r="G29" s="84">
        <f t="shared" si="3"/>
        <v>17</v>
      </c>
      <c r="H29" s="84"/>
      <c r="I29" s="420">
        <f>SUM(J29:M29)</f>
        <v>0</v>
      </c>
      <c r="J29" s="402">
        <v>0</v>
      </c>
      <c r="K29" s="402">
        <v>0</v>
      </c>
      <c r="L29" s="402">
        <v>0</v>
      </c>
      <c r="M29" s="403">
        <v>0</v>
      </c>
      <c r="N29" s="93">
        <v>0</v>
      </c>
    </row>
    <row r="30" spans="1:14" ht="23.25" thickBot="1" x14ac:dyDescent="0.25">
      <c r="A30" s="978"/>
      <c r="B30" s="71"/>
      <c r="C30" s="71"/>
      <c r="D30" s="71"/>
      <c r="E30" s="71" t="s">
        <v>333</v>
      </c>
      <c r="F30" s="86" t="s">
        <v>561</v>
      </c>
      <c r="G30" s="84">
        <f t="shared" si="3"/>
        <v>18</v>
      </c>
      <c r="H30" s="84"/>
      <c r="I30" s="420">
        <f>SUM(J30:M30)</f>
        <v>0</v>
      </c>
      <c r="J30" s="402"/>
      <c r="K30" s="402"/>
      <c r="L30" s="402"/>
      <c r="M30" s="403"/>
      <c r="N30" s="93"/>
    </row>
    <row r="31" spans="1:14" ht="23.25" thickBot="1" x14ac:dyDescent="0.25">
      <c r="A31" s="978"/>
      <c r="B31" s="102"/>
      <c r="C31" s="102"/>
      <c r="D31" s="102" t="s">
        <v>53</v>
      </c>
      <c r="E31" s="102" t="s">
        <v>334</v>
      </c>
      <c r="F31" s="290" t="s">
        <v>562</v>
      </c>
      <c r="G31" s="84">
        <f t="shared" si="3"/>
        <v>19</v>
      </c>
      <c r="H31" s="84"/>
      <c r="I31" s="420">
        <f>SUM(J31:M31)</f>
        <v>0</v>
      </c>
      <c r="J31" s="420">
        <v>0</v>
      </c>
      <c r="K31" s="420">
        <v>0</v>
      </c>
      <c r="L31" s="420">
        <v>0</v>
      </c>
      <c r="M31" s="421">
        <v>0</v>
      </c>
      <c r="N31" s="94">
        <v>0</v>
      </c>
    </row>
    <row r="32" spans="1:14" ht="13.5" thickBot="1" x14ac:dyDescent="0.25">
      <c r="A32" s="978"/>
      <c r="B32" s="102"/>
      <c r="C32" s="102"/>
      <c r="D32" s="102" t="s">
        <v>54</v>
      </c>
      <c r="E32" s="102" t="s">
        <v>335</v>
      </c>
      <c r="F32" s="290"/>
      <c r="G32" s="84">
        <f t="shared" si="3"/>
        <v>20</v>
      </c>
      <c r="H32" s="84"/>
      <c r="I32" s="420">
        <f>SUM(J32:M32)</f>
        <v>0</v>
      </c>
      <c r="J32" s="420"/>
      <c r="K32" s="420"/>
      <c r="L32" s="420"/>
      <c r="M32" s="421"/>
      <c r="N32" s="378"/>
    </row>
    <row r="33" spans="1:14" ht="13.5" thickBot="1" x14ac:dyDescent="0.25">
      <c r="A33" s="978"/>
      <c r="B33" s="102"/>
      <c r="C33" s="102"/>
      <c r="D33" s="102" t="s">
        <v>55</v>
      </c>
      <c r="E33" s="102" t="s">
        <v>321</v>
      </c>
      <c r="F33" s="290" t="s">
        <v>563</v>
      </c>
      <c r="G33" s="84">
        <f t="shared" si="3"/>
        <v>21</v>
      </c>
      <c r="H33" s="84"/>
      <c r="I33" s="420">
        <f>SUM(J33:M33)</f>
        <v>0</v>
      </c>
      <c r="J33" s="420"/>
      <c r="K33" s="420"/>
      <c r="L33" s="420"/>
      <c r="M33" s="421"/>
      <c r="N33" s="378"/>
    </row>
    <row r="34" spans="1:14" ht="19.5" customHeight="1" thickBot="1" x14ac:dyDescent="0.25">
      <c r="A34" s="978"/>
      <c r="B34" s="282" t="s">
        <v>21</v>
      </c>
      <c r="C34" s="282"/>
      <c r="D34" s="1015" t="s">
        <v>336</v>
      </c>
      <c r="E34" s="1017"/>
      <c r="F34" s="283"/>
      <c r="G34" s="284">
        <f t="shared" si="3"/>
        <v>22</v>
      </c>
      <c r="H34" s="284"/>
      <c r="I34" s="422">
        <f t="shared" ref="I34:N34" si="7">I35+I36+I37+I38+I39</f>
        <v>20</v>
      </c>
      <c r="J34" s="422">
        <f t="shared" si="7"/>
        <v>5</v>
      </c>
      <c r="K34" s="422">
        <f t="shared" si="7"/>
        <v>5</v>
      </c>
      <c r="L34" s="422">
        <f t="shared" si="7"/>
        <v>5</v>
      </c>
      <c r="M34" s="423">
        <f t="shared" si="7"/>
        <v>5</v>
      </c>
      <c r="N34" s="291">
        <f t="shared" si="7"/>
        <v>0</v>
      </c>
    </row>
    <row r="35" spans="1:14" ht="13.5" thickBot="1" x14ac:dyDescent="0.25">
      <c r="A35" s="978"/>
      <c r="B35" s="1018"/>
      <c r="C35" s="71" t="s">
        <v>27</v>
      </c>
      <c r="D35" s="973" t="s">
        <v>337</v>
      </c>
      <c r="E35" s="974"/>
      <c r="F35" s="275"/>
      <c r="G35" s="84">
        <f t="shared" si="3"/>
        <v>23</v>
      </c>
      <c r="H35" s="84"/>
      <c r="I35" s="402">
        <f t="shared" ref="I35:I40" si="8">SUM(J35:M35)</f>
        <v>0</v>
      </c>
      <c r="J35" s="402"/>
      <c r="K35" s="402"/>
      <c r="L35" s="402"/>
      <c r="M35" s="403"/>
      <c r="N35" s="93"/>
    </row>
    <row r="36" spans="1:14" ht="13.5" thickBot="1" x14ac:dyDescent="0.25">
      <c r="A36" s="978"/>
      <c r="B36" s="1019"/>
      <c r="C36" s="71" t="s">
        <v>38</v>
      </c>
      <c r="D36" s="973" t="s">
        <v>338</v>
      </c>
      <c r="E36" s="974"/>
      <c r="F36" s="275"/>
      <c r="G36" s="84">
        <f t="shared" si="3"/>
        <v>24</v>
      </c>
      <c r="H36" s="84"/>
      <c r="I36" s="402">
        <f t="shared" si="8"/>
        <v>0</v>
      </c>
      <c r="J36" s="402"/>
      <c r="K36" s="402"/>
      <c r="L36" s="402"/>
      <c r="M36" s="403"/>
      <c r="N36" s="93"/>
    </row>
    <row r="37" spans="1:14" ht="25.5" customHeight="1" thickBot="1" x14ac:dyDescent="0.25">
      <c r="A37" s="978"/>
      <c r="B37" s="1019"/>
      <c r="C37" s="71" t="s">
        <v>40</v>
      </c>
      <c r="D37" s="973" t="s">
        <v>339</v>
      </c>
      <c r="E37" s="974"/>
      <c r="F37" s="275" t="s">
        <v>564</v>
      </c>
      <c r="G37" s="84">
        <f t="shared" si="3"/>
        <v>25</v>
      </c>
      <c r="H37" s="84"/>
      <c r="I37" s="420">
        <f t="shared" si="8"/>
        <v>0</v>
      </c>
      <c r="J37" s="402"/>
      <c r="K37" s="402"/>
      <c r="L37" s="402"/>
      <c r="M37" s="403"/>
      <c r="N37" s="93"/>
    </row>
    <row r="38" spans="1:14" ht="25.5" customHeight="1" thickBot="1" x14ac:dyDescent="0.25">
      <c r="A38" s="978"/>
      <c r="B38" s="1019"/>
      <c r="C38" s="71" t="s">
        <v>42</v>
      </c>
      <c r="D38" s="973" t="s">
        <v>340</v>
      </c>
      <c r="E38" s="974"/>
      <c r="F38" s="275" t="s">
        <v>565</v>
      </c>
      <c r="G38" s="84">
        <f t="shared" si="3"/>
        <v>26</v>
      </c>
      <c r="H38" s="84"/>
      <c r="I38" s="402">
        <f t="shared" si="8"/>
        <v>20</v>
      </c>
      <c r="J38" s="402">
        <v>5</v>
      </c>
      <c r="K38" s="402">
        <v>5</v>
      </c>
      <c r="L38" s="402">
        <v>5</v>
      </c>
      <c r="M38" s="403">
        <v>5</v>
      </c>
      <c r="N38" s="93"/>
    </row>
    <row r="39" spans="1:14" ht="13.5" thickBot="1" x14ac:dyDescent="0.25">
      <c r="A39" s="978"/>
      <c r="B39" s="1020"/>
      <c r="C39" s="71" t="s">
        <v>28</v>
      </c>
      <c r="D39" s="973" t="s">
        <v>341</v>
      </c>
      <c r="E39" s="974"/>
      <c r="F39" s="275" t="s">
        <v>566</v>
      </c>
      <c r="G39" s="84">
        <f t="shared" si="3"/>
        <v>27</v>
      </c>
      <c r="H39" s="84"/>
      <c r="I39" s="402">
        <f t="shared" si="8"/>
        <v>0</v>
      </c>
      <c r="J39" s="402"/>
      <c r="K39" s="402"/>
      <c r="L39" s="402"/>
      <c r="M39" s="403"/>
      <c r="N39" s="93"/>
    </row>
    <row r="40" spans="1:14" ht="13.5" thickBot="1" x14ac:dyDescent="0.25">
      <c r="A40" s="979"/>
      <c r="B40" s="71" t="s">
        <v>17</v>
      </c>
      <c r="C40" s="71"/>
      <c r="D40" s="973" t="s">
        <v>115</v>
      </c>
      <c r="E40" s="974"/>
      <c r="F40" s="275"/>
      <c r="G40" s="84">
        <f t="shared" si="3"/>
        <v>28</v>
      </c>
      <c r="H40" s="84"/>
      <c r="I40" s="402">
        <f t="shared" si="8"/>
        <v>0</v>
      </c>
      <c r="J40" s="402"/>
      <c r="K40" s="402"/>
      <c r="L40" s="402"/>
      <c r="M40" s="403"/>
      <c r="N40" s="93"/>
    </row>
    <row r="41" spans="1:14" ht="13.5" thickBot="1" x14ac:dyDescent="0.25">
      <c r="A41" s="87" t="s">
        <v>23</v>
      </c>
      <c r="B41" s="1023" t="s">
        <v>463</v>
      </c>
      <c r="C41" s="1024"/>
      <c r="D41" s="1024"/>
      <c r="E41" s="1025"/>
      <c r="F41" s="292"/>
      <c r="G41" s="284">
        <f t="shared" si="3"/>
        <v>29</v>
      </c>
      <c r="H41" s="284"/>
      <c r="I41" s="415">
        <f t="shared" ref="I41:N41" si="9">I42+I182+I190</f>
        <v>3213797.0702999998</v>
      </c>
      <c r="J41" s="415">
        <f t="shared" si="9"/>
        <v>702167.01971999998</v>
      </c>
      <c r="K41" s="415">
        <f t="shared" si="9"/>
        <v>773114.36048000003</v>
      </c>
      <c r="L41" s="415">
        <f t="shared" si="9"/>
        <v>885119.49248000002</v>
      </c>
      <c r="M41" s="416">
        <f t="shared" si="9"/>
        <v>853396.19761999999</v>
      </c>
      <c r="N41" s="88">
        <f t="shared" si="9"/>
        <v>0</v>
      </c>
    </row>
    <row r="42" spans="1:14" ht="21" customHeight="1" thickBot="1" x14ac:dyDescent="0.25">
      <c r="A42" s="977"/>
      <c r="B42" s="293" t="s">
        <v>4</v>
      </c>
      <c r="C42" s="1026" t="s">
        <v>464</v>
      </c>
      <c r="D42" s="1027"/>
      <c r="E42" s="1028"/>
      <c r="F42" s="277"/>
      <c r="G42" s="97">
        <f t="shared" si="3"/>
        <v>30</v>
      </c>
      <c r="H42" s="97"/>
      <c r="I42" s="424">
        <f t="shared" ref="I42:N42" si="10">I43+I115+I131+I165</f>
        <v>3213797.0702999998</v>
      </c>
      <c r="J42" s="424">
        <f t="shared" si="10"/>
        <v>702167.01971999998</v>
      </c>
      <c r="K42" s="424">
        <f t="shared" si="10"/>
        <v>773114.36048000003</v>
      </c>
      <c r="L42" s="424">
        <f t="shared" si="10"/>
        <v>885119.49248000002</v>
      </c>
      <c r="M42" s="425">
        <f t="shared" si="10"/>
        <v>853396.19761999999</v>
      </c>
      <c r="N42" s="98">
        <f t="shared" si="10"/>
        <v>0</v>
      </c>
    </row>
    <row r="43" spans="1:14" ht="22.5" customHeight="1" thickBot="1" x14ac:dyDescent="0.25">
      <c r="A43" s="978"/>
      <c r="B43" s="1029"/>
      <c r="C43" s="1026" t="s">
        <v>473</v>
      </c>
      <c r="D43" s="1027"/>
      <c r="E43" s="1028"/>
      <c r="F43" s="277"/>
      <c r="G43" s="97">
        <f t="shared" si="3"/>
        <v>31</v>
      </c>
      <c r="H43" s="97"/>
      <c r="I43" s="424">
        <f t="shared" ref="I43:N43" si="11">I44+I65+I75</f>
        <v>1929850</v>
      </c>
      <c r="J43" s="424">
        <f t="shared" si="11"/>
        <v>436510</v>
      </c>
      <c r="K43" s="424">
        <f t="shared" si="11"/>
        <v>428290</v>
      </c>
      <c r="L43" s="424">
        <f t="shared" si="11"/>
        <v>577090</v>
      </c>
      <c r="M43" s="425">
        <f t="shared" si="11"/>
        <v>487960</v>
      </c>
      <c r="N43" s="98">
        <f t="shared" si="11"/>
        <v>0</v>
      </c>
    </row>
    <row r="44" spans="1:14" ht="13.5" thickBot="1" x14ac:dyDescent="0.25">
      <c r="A44" s="978"/>
      <c r="B44" s="1030"/>
      <c r="C44" s="294" t="s">
        <v>265</v>
      </c>
      <c r="D44" s="986" t="s">
        <v>342</v>
      </c>
      <c r="E44" s="988"/>
      <c r="F44" s="276"/>
      <c r="G44" s="97">
        <f t="shared" si="3"/>
        <v>32</v>
      </c>
      <c r="H44" s="97"/>
      <c r="I44" s="426">
        <f t="shared" ref="I44:N44" si="12">I45+I46+I57+I58+I64</f>
        <v>1333520</v>
      </c>
      <c r="J44" s="426">
        <f t="shared" si="12"/>
        <v>308970</v>
      </c>
      <c r="K44" s="426">
        <f t="shared" si="12"/>
        <v>279150</v>
      </c>
      <c r="L44" s="426">
        <f t="shared" si="12"/>
        <v>405250</v>
      </c>
      <c r="M44" s="427">
        <f t="shared" si="12"/>
        <v>340150</v>
      </c>
      <c r="N44" s="100">
        <f t="shared" si="12"/>
        <v>0</v>
      </c>
    </row>
    <row r="45" spans="1:14" ht="13.5" thickBot="1" x14ac:dyDescent="0.25">
      <c r="A45" s="978"/>
      <c r="B45" s="1030"/>
      <c r="C45" s="71" t="s">
        <v>27</v>
      </c>
      <c r="D45" s="973" t="s">
        <v>227</v>
      </c>
      <c r="E45" s="974"/>
      <c r="F45" s="275" t="s">
        <v>567</v>
      </c>
      <c r="G45" s="84">
        <f t="shared" si="3"/>
        <v>33</v>
      </c>
      <c r="H45" s="84"/>
      <c r="I45" s="405">
        <f t="shared" ref="I45:I63" si="13">SUM(J45:M45)</f>
        <v>570</v>
      </c>
      <c r="J45" s="405">
        <v>120</v>
      </c>
      <c r="K45" s="405">
        <v>150</v>
      </c>
      <c r="L45" s="405">
        <v>150</v>
      </c>
      <c r="M45" s="419">
        <v>150</v>
      </c>
      <c r="N45" s="89"/>
    </row>
    <row r="46" spans="1:14" ht="13.5" thickBot="1" x14ac:dyDescent="0.25">
      <c r="A46" s="978"/>
      <c r="B46" s="1030"/>
      <c r="C46" s="71" t="s">
        <v>38</v>
      </c>
      <c r="D46" s="973" t="s">
        <v>267</v>
      </c>
      <c r="E46" s="974"/>
      <c r="F46" s="275" t="s">
        <v>568</v>
      </c>
      <c r="G46" s="84">
        <f t="shared" si="3"/>
        <v>34</v>
      </c>
      <c r="H46" s="84"/>
      <c r="I46" s="405">
        <f t="shared" si="13"/>
        <v>225000</v>
      </c>
      <c r="J46" s="405">
        <f>J47+J54</f>
        <v>43500</v>
      </c>
      <c r="K46" s="405">
        <f>K47+K54</f>
        <v>55500</v>
      </c>
      <c r="L46" s="405">
        <f>L47+L54</f>
        <v>65500</v>
      </c>
      <c r="M46" s="405">
        <f>M47+M54</f>
        <v>60500</v>
      </c>
      <c r="N46" s="89"/>
    </row>
    <row r="47" spans="1:14" ht="13.5" thickBot="1" x14ac:dyDescent="0.25">
      <c r="A47" s="978"/>
      <c r="B47" s="1030"/>
      <c r="C47" s="71"/>
      <c r="D47" s="71" t="s">
        <v>76</v>
      </c>
      <c r="E47" s="71" t="s">
        <v>569</v>
      </c>
      <c r="F47" s="86">
        <v>602</v>
      </c>
      <c r="G47" s="84">
        <f t="shared" si="3"/>
        <v>35</v>
      </c>
      <c r="H47" s="84"/>
      <c r="I47" s="405">
        <f t="shared" si="13"/>
        <v>139000</v>
      </c>
      <c r="J47" s="405">
        <v>25000</v>
      </c>
      <c r="K47" s="405">
        <v>35000</v>
      </c>
      <c r="L47" s="405">
        <v>42000</v>
      </c>
      <c r="M47" s="419">
        <v>37000</v>
      </c>
      <c r="N47" s="89">
        <f>SUM(N48:N53)</f>
        <v>0</v>
      </c>
    </row>
    <row r="48" spans="1:14" ht="13.5" thickBot="1" x14ac:dyDescent="0.25">
      <c r="A48" s="978"/>
      <c r="B48" s="1030"/>
      <c r="C48" s="295"/>
      <c r="D48" s="295"/>
      <c r="E48" s="71" t="s">
        <v>570</v>
      </c>
      <c r="F48" s="296" t="s">
        <v>571</v>
      </c>
      <c r="G48" s="84"/>
      <c r="H48" s="84"/>
      <c r="I48" s="405">
        <f t="shared" si="13"/>
        <v>6800</v>
      </c>
      <c r="J48" s="405">
        <v>1700</v>
      </c>
      <c r="K48" s="405">
        <v>1800</v>
      </c>
      <c r="L48" s="405">
        <v>1500</v>
      </c>
      <c r="M48" s="419">
        <v>1800</v>
      </c>
      <c r="N48" s="89"/>
    </row>
    <row r="49" spans="1:14" ht="13.5" thickBot="1" x14ac:dyDescent="0.25">
      <c r="A49" s="978"/>
      <c r="B49" s="1030"/>
      <c r="C49" s="256"/>
      <c r="D49" s="256"/>
      <c r="E49" s="71" t="s">
        <v>572</v>
      </c>
      <c r="F49" s="296">
        <v>6024</v>
      </c>
      <c r="G49" s="84"/>
      <c r="H49" s="84"/>
      <c r="I49" s="405">
        <f t="shared" si="13"/>
        <v>3100</v>
      </c>
      <c r="J49" s="405">
        <v>800</v>
      </c>
      <c r="K49" s="405">
        <v>800</v>
      </c>
      <c r="L49" s="405">
        <v>750</v>
      </c>
      <c r="M49" s="419">
        <v>750</v>
      </c>
      <c r="N49" s="89"/>
    </row>
    <row r="50" spans="1:14" ht="13.5" thickBot="1" x14ac:dyDescent="0.25">
      <c r="A50" s="978"/>
      <c r="B50" s="1030"/>
      <c r="C50" s="256"/>
      <c r="D50" s="256"/>
      <c r="E50" s="71" t="s">
        <v>573</v>
      </c>
      <c r="F50" s="296">
        <v>6027</v>
      </c>
      <c r="G50" s="84"/>
      <c r="H50" s="84"/>
      <c r="I50" s="405">
        <f t="shared" si="13"/>
        <v>66000</v>
      </c>
      <c r="J50" s="405">
        <v>12000</v>
      </c>
      <c r="K50" s="405">
        <v>16500</v>
      </c>
      <c r="L50" s="405">
        <v>19500</v>
      </c>
      <c r="M50" s="419">
        <v>18000</v>
      </c>
      <c r="N50" s="89"/>
    </row>
    <row r="51" spans="1:14" ht="13.5" thickBot="1" x14ac:dyDescent="0.25">
      <c r="A51" s="978"/>
      <c r="B51" s="1030"/>
      <c r="C51" s="256"/>
      <c r="D51" s="256"/>
      <c r="E51" s="71" t="s">
        <v>574</v>
      </c>
      <c r="F51" s="296" t="s">
        <v>575</v>
      </c>
      <c r="G51" s="84"/>
      <c r="H51" s="84"/>
      <c r="I51" s="405">
        <f t="shared" si="13"/>
        <v>280</v>
      </c>
      <c r="J51" s="405">
        <v>70</v>
      </c>
      <c r="K51" s="405">
        <v>70</v>
      </c>
      <c r="L51" s="405">
        <v>70</v>
      </c>
      <c r="M51" s="419">
        <v>70</v>
      </c>
      <c r="N51" s="89"/>
    </row>
    <row r="52" spans="1:14" ht="13.5" thickBot="1" x14ac:dyDescent="0.25">
      <c r="A52" s="978"/>
      <c r="B52" s="1030"/>
      <c r="C52" s="256"/>
      <c r="D52" s="256"/>
      <c r="E52" s="256" t="s">
        <v>576</v>
      </c>
      <c r="F52" s="296">
        <v>608</v>
      </c>
      <c r="G52" s="84"/>
      <c r="H52" s="84"/>
      <c r="I52" s="405">
        <f t="shared" si="13"/>
        <v>0</v>
      </c>
      <c r="J52" s="405"/>
      <c r="K52" s="405"/>
      <c r="L52" s="405"/>
      <c r="M52" s="419"/>
      <c r="N52" s="89"/>
    </row>
    <row r="53" spans="1:14" ht="13.5" thickBot="1" x14ac:dyDescent="0.25">
      <c r="A53" s="978"/>
      <c r="B53" s="1030"/>
      <c r="C53" s="297"/>
      <c r="D53" s="297"/>
      <c r="E53" s="297" t="s">
        <v>577</v>
      </c>
      <c r="F53" s="296">
        <v>609</v>
      </c>
      <c r="G53" s="84"/>
      <c r="H53" s="84"/>
      <c r="I53" s="405">
        <f t="shared" si="13"/>
        <v>0</v>
      </c>
      <c r="J53" s="405"/>
      <c r="K53" s="405"/>
      <c r="L53" s="405"/>
      <c r="M53" s="419"/>
      <c r="N53" s="89"/>
    </row>
    <row r="54" spans="1:14" ht="13.5" thickBot="1" x14ac:dyDescent="0.25">
      <c r="A54" s="978"/>
      <c r="B54" s="1030"/>
      <c r="C54" s="71"/>
      <c r="D54" s="71" t="s">
        <v>99</v>
      </c>
      <c r="E54" s="71" t="s">
        <v>269</v>
      </c>
      <c r="F54" s="86"/>
      <c r="G54" s="84">
        <f>G47+1</f>
        <v>36</v>
      </c>
      <c r="H54" s="84"/>
      <c r="I54" s="405">
        <f t="shared" si="13"/>
        <v>86000</v>
      </c>
      <c r="J54" s="405">
        <f>SUM(J55:J56)</f>
        <v>18500</v>
      </c>
      <c r="K54" s="405">
        <f>SUM(K55:K56)</f>
        <v>20500</v>
      </c>
      <c r="L54" s="405">
        <f>SUM(L55:L56)</f>
        <v>23500</v>
      </c>
      <c r="M54" s="419">
        <f>SUM(M55:M56)</f>
        <v>23500</v>
      </c>
      <c r="N54" s="89">
        <f>SUM(N55:N56)</f>
        <v>0</v>
      </c>
    </row>
    <row r="55" spans="1:14" ht="13.5" thickBot="1" x14ac:dyDescent="0.25">
      <c r="A55" s="978"/>
      <c r="B55" s="1030"/>
      <c r="C55" s="298"/>
      <c r="D55" s="300"/>
      <c r="E55" s="71" t="s">
        <v>578</v>
      </c>
      <c r="F55" s="296">
        <v>6022</v>
      </c>
      <c r="G55" s="84"/>
      <c r="H55" s="84"/>
      <c r="I55" s="405">
        <f t="shared" si="13"/>
        <v>14000</v>
      </c>
      <c r="J55" s="405">
        <v>3500</v>
      </c>
      <c r="K55" s="405">
        <v>3500</v>
      </c>
      <c r="L55" s="405">
        <v>3500</v>
      </c>
      <c r="M55" s="419">
        <v>3500</v>
      </c>
      <c r="N55" s="89"/>
    </row>
    <row r="56" spans="1:14" ht="13.5" thickBot="1" x14ac:dyDescent="0.25">
      <c r="A56" s="978"/>
      <c r="B56" s="1030"/>
      <c r="C56" s="298"/>
      <c r="D56" s="300"/>
      <c r="E56" s="71" t="s">
        <v>579</v>
      </c>
      <c r="F56" s="296">
        <v>604</v>
      </c>
      <c r="G56" s="84"/>
      <c r="H56" s="84"/>
      <c r="I56" s="405">
        <f t="shared" si="13"/>
        <v>72000</v>
      </c>
      <c r="J56" s="405">
        <v>15000</v>
      </c>
      <c r="K56" s="405">
        <v>17000</v>
      </c>
      <c r="L56" s="405">
        <v>20000</v>
      </c>
      <c r="M56" s="419">
        <v>20000</v>
      </c>
      <c r="N56" s="89"/>
    </row>
    <row r="57" spans="1:14" ht="13.5" thickBot="1" x14ac:dyDescent="0.25">
      <c r="A57" s="978"/>
      <c r="B57" s="1030"/>
      <c r="C57" s="71" t="s">
        <v>40</v>
      </c>
      <c r="D57" s="973" t="s">
        <v>343</v>
      </c>
      <c r="E57" s="974"/>
      <c r="F57" s="275">
        <v>603</v>
      </c>
      <c r="G57" s="84">
        <f>G54+1</f>
        <v>37</v>
      </c>
      <c r="H57" s="84"/>
      <c r="I57" s="405">
        <f t="shared" si="13"/>
        <v>16700</v>
      </c>
      <c r="J57" s="405">
        <v>3700</v>
      </c>
      <c r="K57" s="405">
        <v>4800</v>
      </c>
      <c r="L57" s="405">
        <v>4500</v>
      </c>
      <c r="M57" s="419">
        <v>3700</v>
      </c>
      <c r="N57" s="89"/>
    </row>
    <row r="58" spans="1:14" ht="13.5" thickBot="1" x14ac:dyDescent="0.25">
      <c r="A58" s="978"/>
      <c r="B58" s="1030"/>
      <c r="C58" s="71" t="s">
        <v>42</v>
      </c>
      <c r="D58" s="973" t="s">
        <v>271</v>
      </c>
      <c r="E58" s="974"/>
      <c r="F58" s="275">
        <v>605</v>
      </c>
      <c r="G58" s="84">
        <f t="shared" si="3"/>
        <v>38</v>
      </c>
      <c r="H58" s="84"/>
      <c r="I58" s="405">
        <f t="shared" si="13"/>
        <v>1091250</v>
      </c>
      <c r="J58" s="405">
        <f>SUM(J59:J63)</f>
        <v>261650</v>
      </c>
      <c r="K58" s="405">
        <f>SUM(K59:K63)</f>
        <v>218700</v>
      </c>
      <c r="L58" s="405">
        <f>SUM(L59:L63)</f>
        <v>335100</v>
      </c>
      <c r="M58" s="419">
        <f>SUM(M59:M63)</f>
        <v>275800</v>
      </c>
      <c r="N58" s="89">
        <f>SUM(N59:N63)</f>
        <v>0</v>
      </c>
    </row>
    <row r="59" spans="1:14" ht="13.5" thickBot="1" x14ac:dyDescent="0.25">
      <c r="A59" s="978"/>
      <c r="B59" s="1030"/>
      <c r="C59" s="295"/>
      <c r="D59" s="295"/>
      <c r="E59" s="256" t="s">
        <v>580</v>
      </c>
      <c r="F59" s="296" t="s">
        <v>581</v>
      </c>
      <c r="G59" s="84"/>
      <c r="H59" s="84"/>
      <c r="I59" s="405">
        <f t="shared" si="13"/>
        <v>121700</v>
      </c>
      <c r="J59" s="405">
        <v>23700</v>
      </c>
      <c r="K59" s="405">
        <v>29000</v>
      </c>
      <c r="L59" s="405">
        <v>35000</v>
      </c>
      <c r="M59" s="419">
        <v>34000</v>
      </c>
      <c r="N59" s="89"/>
    </row>
    <row r="60" spans="1:14" ht="13.5" thickBot="1" x14ac:dyDescent="0.25">
      <c r="A60" s="978"/>
      <c r="B60" s="1030"/>
      <c r="C60" s="256"/>
      <c r="D60" s="256"/>
      <c r="E60" s="256" t="s">
        <v>582</v>
      </c>
      <c r="F60" s="296" t="s">
        <v>583</v>
      </c>
      <c r="G60" s="84"/>
      <c r="H60" s="84"/>
      <c r="I60" s="405">
        <f t="shared" si="13"/>
        <v>539600</v>
      </c>
      <c r="J60" s="428">
        <v>149700</v>
      </c>
      <c r="K60" s="428">
        <v>89700</v>
      </c>
      <c r="L60" s="428">
        <v>180100</v>
      </c>
      <c r="M60" s="429">
        <v>120100</v>
      </c>
      <c r="N60" s="89"/>
    </row>
    <row r="61" spans="1:14" ht="13.5" thickBot="1" x14ac:dyDescent="0.25">
      <c r="A61" s="978"/>
      <c r="B61" s="1030"/>
      <c r="C61" s="256"/>
      <c r="D61" s="256"/>
      <c r="E61" s="295" t="s">
        <v>584</v>
      </c>
      <c r="F61" s="296" t="s">
        <v>585</v>
      </c>
      <c r="G61" s="84"/>
      <c r="H61" s="84"/>
      <c r="I61" s="405">
        <f t="shared" si="13"/>
        <v>427000</v>
      </c>
      <c r="J61" s="405">
        <v>87000</v>
      </c>
      <c r="K61" s="405">
        <v>100000</v>
      </c>
      <c r="L61" s="405">
        <v>120000</v>
      </c>
      <c r="M61" s="419">
        <v>120000</v>
      </c>
      <c r="N61" s="89"/>
    </row>
    <row r="62" spans="1:14" ht="13.5" thickBot="1" x14ac:dyDescent="0.25">
      <c r="A62" s="978"/>
      <c r="B62" s="1030"/>
      <c r="C62" s="256"/>
      <c r="D62" s="256"/>
      <c r="E62" s="256" t="s">
        <v>586</v>
      </c>
      <c r="F62" s="296" t="s">
        <v>587</v>
      </c>
      <c r="G62" s="84"/>
      <c r="H62" s="84"/>
      <c r="I62" s="405">
        <f t="shared" si="13"/>
        <v>0</v>
      </c>
      <c r="J62" s="405"/>
      <c r="K62" s="405"/>
      <c r="L62" s="405"/>
      <c r="M62" s="419"/>
      <c r="N62" s="89"/>
    </row>
    <row r="63" spans="1:14" ht="13.5" thickBot="1" x14ac:dyDescent="0.25">
      <c r="A63" s="978"/>
      <c r="B63" s="1030"/>
      <c r="C63" s="297"/>
      <c r="D63" s="297"/>
      <c r="E63" s="297" t="s">
        <v>588</v>
      </c>
      <c r="F63" s="296" t="s">
        <v>589</v>
      </c>
      <c r="G63" s="84"/>
      <c r="H63" s="84"/>
      <c r="I63" s="405">
        <f t="shared" si="13"/>
        <v>2950</v>
      </c>
      <c r="J63" s="405">
        <v>1250</v>
      </c>
      <c r="K63" s="405"/>
      <c r="L63" s="405"/>
      <c r="M63" s="419">
        <v>1700</v>
      </c>
      <c r="N63" s="89"/>
    </row>
    <row r="64" spans="1:14" ht="13.5" thickBot="1" x14ac:dyDescent="0.25">
      <c r="A64" s="978"/>
      <c r="B64" s="1030"/>
      <c r="C64" s="71" t="s">
        <v>28</v>
      </c>
      <c r="D64" s="973" t="s">
        <v>272</v>
      </c>
      <c r="E64" s="974"/>
      <c r="F64" s="275"/>
      <c r="G64" s="84">
        <f>G58+1</f>
        <v>39</v>
      </c>
      <c r="H64" s="84"/>
      <c r="I64" s="405">
        <v>0</v>
      </c>
      <c r="J64" s="405">
        <v>0</v>
      </c>
      <c r="K64" s="405">
        <v>0</v>
      </c>
      <c r="L64" s="405">
        <v>0</v>
      </c>
      <c r="M64" s="419">
        <v>0</v>
      </c>
      <c r="N64" s="89"/>
    </row>
    <row r="65" spans="1:14" ht="23.25" customHeight="1" thickBot="1" x14ac:dyDescent="0.25">
      <c r="A65" s="978"/>
      <c r="B65" s="1030"/>
      <c r="C65" s="294" t="s">
        <v>273</v>
      </c>
      <c r="D65" s="986" t="s">
        <v>465</v>
      </c>
      <c r="E65" s="988"/>
      <c r="F65" s="276"/>
      <c r="G65" s="97">
        <f t="shared" si="3"/>
        <v>40</v>
      </c>
      <c r="H65" s="97"/>
      <c r="I65" s="426">
        <f t="shared" ref="I65:N65" si="14">SUM(I66:I70)+I74</f>
        <v>116400</v>
      </c>
      <c r="J65" s="426">
        <f t="shared" si="14"/>
        <v>27850</v>
      </c>
      <c r="K65" s="426">
        <f t="shared" si="14"/>
        <v>28850</v>
      </c>
      <c r="L65" s="426">
        <f t="shared" si="14"/>
        <v>31850</v>
      </c>
      <c r="M65" s="427">
        <f t="shared" si="14"/>
        <v>27850</v>
      </c>
      <c r="N65" s="100">
        <f t="shared" si="14"/>
        <v>0</v>
      </c>
    </row>
    <row r="66" spans="1:14" ht="13.5" thickBot="1" x14ac:dyDescent="0.25">
      <c r="A66" s="978"/>
      <c r="B66" s="1030"/>
      <c r="C66" s="71" t="s">
        <v>27</v>
      </c>
      <c r="D66" s="973" t="s">
        <v>274</v>
      </c>
      <c r="E66" s="974"/>
      <c r="F66" s="275">
        <v>611</v>
      </c>
      <c r="G66" s="84">
        <f t="shared" si="3"/>
        <v>41</v>
      </c>
      <c r="H66" s="84"/>
      <c r="I66" s="405">
        <f t="shared" ref="I66:I74" si="15">SUM(J66:M66)</f>
        <v>52500</v>
      </c>
      <c r="J66" s="405">
        <f>SUM(J67:J69)</f>
        <v>12500</v>
      </c>
      <c r="K66" s="405">
        <f>SUM(K67:K69)</f>
        <v>13000</v>
      </c>
      <c r="L66" s="405">
        <f>SUM(L67:L69)</f>
        <v>14500</v>
      </c>
      <c r="M66" s="419">
        <f>SUM(M67:M69)</f>
        <v>12500</v>
      </c>
      <c r="N66" s="89">
        <f>SUM(N67:N69)</f>
        <v>0</v>
      </c>
    </row>
    <row r="67" spans="1:14" ht="13.5" thickBot="1" x14ac:dyDescent="0.25">
      <c r="A67" s="978"/>
      <c r="B67" s="1030"/>
      <c r="C67" s="71"/>
      <c r="D67" s="278"/>
      <c r="E67" s="279" t="s">
        <v>590</v>
      </c>
      <c r="F67" s="296" t="s">
        <v>591</v>
      </c>
      <c r="G67" s="84"/>
      <c r="H67" s="84"/>
      <c r="I67" s="405">
        <f t="shared" si="15"/>
        <v>52500</v>
      </c>
      <c r="J67" s="405">
        <v>12500</v>
      </c>
      <c r="K67" s="405">
        <v>13000</v>
      </c>
      <c r="L67" s="405">
        <v>14500</v>
      </c>
      <c r="M67" s="419">
        <v>12500</v>
      </c>
      <c r="N67" s="89"/>
    </row>
    <row r="68" spans="1:14" ht="13.5" thickBot="1" x14ac:dyDescent="0.25">
      <c r="A68" s="978"/>
      <c r="B68" s="1030"/>
      <c r="C68" s="71"/>
      <c r="D68" s="278"/>
      <c r="E68" s="279" t="s">
        <v>592</v>
      </c>
      <c r="F68" s="296">
        <v>611.01</v>
      </c>
      <c r="G68" s="84"/>
      <c r="H68" s="84"/>
      <c r="I68" s="405">
        <f t="shared" si="15"/>
        <v>0</v>
      </c>
      <c r="J68" s="405"/>
      <c r="K68" s="405"/>
      <c r="L68" s="405"/>
      <c r="M68" s="419"/>
      <c r="N68" s="89"/>
    </row>
    <row r="69" spans="1:14" ht="13.5" thickBot="1" x14ac:dyDescent="0.25">
      <c r="A69" s="978"/>
      <c r="B69" s="1030"/>
      <c r="C69" s="71"/>
      <c r="D69" s="278"/>
      <c r="E69" s="279" t="s">
        <v>593</v>
      </c>
      <c r="F69" s="296" t="s">
        <v>594</v>
      </c>
      <c r="G69" s="84"/>
      <c r="H69" s="84"/>
      <c r="I69" s="405">
        <f t="shared" si="15"/>
        <v>0</v>
      </c>
      <c r="J69" s="405"/>
      <c r="K69" s="405"/>
      <c r="L69" s="405"/>
      <c r="M69" s="419"/>
      <c r="N69" s="89"/>
    </row>
    <row r="70" spans="1:14" ht="13.5" thickBot="1" x14ac:dyDescent="0.25">
      <c r="A70" s="979"/>
      <c r="B70" s="1031"/>
      <c r="C70" s="71" t="s">
        <v>38</v>
      </c>
      <c r="D70" s="973" t="s">
        <v>275</v>
      </c>
      <c r="E70" s="974"/>
      <c r="F70" s="275">
        <v>612</v>
      </c>
      <c r="G70" s="84">
        <f>G66+1</f>
        <v>42</v>
      </c>
      <c r="H70" s="84"/>
      <c r="I70" s="405">
        <f t="shared" si="15"/>
        <v>11200</v>
      </c>
      <c r="J70" s="405">
        <v>2800</v>
      </c>
      <c r="K70" s="405">
        <v>2800</v>
      </c>
      <c r="L70" s="405">
        <v>2800</v>
      </c>
      <c r="M70" s="419">
        <v>2800</v>
      </c>
      <c r="N70" s="89">
        <f>N71+N73</f>
        <v>0</v>
      </c>
    </row>
    <row r="71" spans="1:14" ht="13.5" thickBot="1" x14ac:dyDescent="0.25">
      <c r="A71" s="977"/>
      <c r="B71" s="1018"/>
      <c r="C71" s="71"/>
      <c r="D71" s="71" t="s">
        <v>76</v>
      </c>
      <c r="E71" s="71" t="s">
        <v>656</v>
      </c>
      <c r="F71" s="86"/>
      <c r="G71" s="84">
        <f t="shared" si="3"/>
        <v>43</v>
      </c>
      <c r="H71" s="84"/>
      <c r="I71" s="405">
        <f t="shared" si="15"/>
        <v>11200</v>
      </c>
      <c r="J71" s="405">
        <v>2800</v>
      </c>
      <c r="K71" s="405">
        <v>2800</v>
      </c>
      <c r="L71" s="405">
        <v>2800</v>
      </c>
      <c r="M71" s="419">
        <v>2800</v>
      </c>
      <c r="N71" s="89"/>
    </row>
    <row r="72" spans="1:14" ht="13.5" thickBot="1" x14ac:dyDescent="0.25">
      <c r="A72" s="978"/>
      <c r="B72" s="1019"/>
      <c r="C72" s="71"/>
      <c r="D72" s="71"/>
      <c r="E72" s="86" t="s">
        <v>595</v>
      </c>
      <c r="F72" s="286" t="s">
        <v>596</v>
      </c>
      <c r="G72" s="84"/>
      <c r="H72" s="84"/>
      <c r="I72" s="405">
        <f t="shared" si="15"/>
        <v>0</v>
      </c>
      <c r="J72" s="405"/>
      <c r="K72" s="405"/>
      <c r="L72" s="405"/>
      <c r="M72" s="419"/>
      <c r="N72" s="89"/>
    </row>
    <row r="73" spans="1:14" ht="13.5" thickBot="1" x14ac:dyDescent="0.25">
      <c r="A73" s="978"/>
      <c r="B73" s="1019"/>
      <c r="C73" s="71"/>
      <c r="D73" s="71" t="s">
        <v>99</v>
      </c>
      <c r="E73" s="71" t="s">
        <v>158</v>
      </c>
      <c r="F73" s="86">
        <v>612</v>
      </c>
      <c r="G73" s="84">
        <f>G71+1</f>
        <v>44</v>
      </c>
      <c r="H73" s="84"/>
      <c r="I73" s="405">
        <f t="shared" si="15"/>
        <v>4000</v>
      </c>
      <c r="J73" s="405">
        <v>1000</v>
      </c>
      <c r="K73" s="405">
        <v>1000</v>
      </c>
      <c r="L73" s="405">
        <v>1000</v>
      </c>
      <c r="M73" s="419">
        <v>1000</v>
      </c>
      <c r="N73" s="89"/>
    </row>
    <row r="74" spans="1:14" ht="13.5" thickBot="1" x14ac:dyDescent="0.25">
      <c r="A74" s="978"/>
      <c r="B74" s="1019"/>
      <c r="C74" s="71" t="s">
        <v>40</v>
      </c>
      <c r="D74" s="973" t="s">
        <v>159</v>
      </c>
      <c r="E74" s="974"/>
      <c r="F74" s="301" t="s">
        <v>597</v>
      </c>
      <c r="G74" s="84">
        <f t="shared" si="3"/>
        <v>45</v>
      </c>
      <c r="H74" s="84"/>
      <c r="I74" s="405">
        <f t="shared" si="15"/>
        <v>200</v>
      </c>
      <c r="J74" s="405">
        <v>50</v>
      </c>
      <c r="K74" s="405">
        <v>50</v>
      </c>
      <c r="L74" s="405">
        <v>50</v>
      </c>
      <c r="M74" s="419">
        <v>50</v>
      </c>
      <c r="N74" s="89"/>
    </row>
    <row r="75" spans="1:14" ht="23.25" customHeight="1" thickBot="1" x14ac:dyDescent="0.25">
      <c r="A75" s="978"/>
      <c r="B75" s="1019"/>
      <c r="C75" s="294" t="s">
        <v>160</v>
      </c>
      <c r="D75" s="986" t="s">
        <v>466</v>
      </c>
      <c r="E75" s="988"/>
      <c r="F75" s="276"/>
      <c r="G75" s="97">
        <f t="shared" si="3"/>
        <v>46</v>
      </c>
      <c r="H75" s="97"/>
      <c r="I75" s="426">
        <f t="shared" ref="I75:N75" si="16">I76+I77+I79+I86+I91+I95+I99+I100+I101+I110</f>
        <v>479930</v>
      </c>
      <c r="J75" s="426">
        <f t="shared" si="16"/>
        <v>99690</v>
      </c>
      <c r="K75" s="426">
        <f t="shared" si="16"/>
        <v>120290</v>
      </c>
      <c r="L75" s="426">
        <f t="shared" si="16"/>
        <v>139990</v>
      </c>
      <c r="M75" s="427">
        <f t="shared" si="16"/>
        <v>119960</v>
      </c>
      <c r="N75" s="100">
        <f t="shared" si="16"/>
        <v>0</v>
      </c>
    </row>
    <row r="76" spans="1:14" ht="13.5" thickBot="1" x14ac:dyDescent="0.25">
      <c r="A76" s="978"/>
      <c r="B76" s="1019"/>
      <c r="C76" s="71" t="s">
        <v>27</v>
      </c>
      <c r="D76" s="1021" t="s">
        <v>161</v>
      </c>
      <c r="E76" s="1022"/>
      <c r="F76" s="302">
        <v>621</v>
      </c>
      <c r="G76" s="84">
        <f t="shared" si="3"/>
        <v>47</v>
      </c>
      <c r="H76" s="84"/>
      <c r="I76" s="432">
        <f>SUM(J76:M76)</f>
        <v>0</v>
      </c>
      <c r="J76" s="430"/>
      <c r="K76" s="430"/>
      <c r="L76" s="430"/>
      <c r="M76" s="431"/>
      <c r="N76" s="101"/>
    </row>
    <row r="77" spans="1:14" ht="13.5" thickBot="1" x14ac:dyDescent="0.25">
      <c r="A77" s="978"/>
      <c r="B77" s="1019"/>
      <c r="C77" s="71" t="s">
        <v>38</v>
      </c>
      <c r="D77" s="1021" t="s">
        <v>162</v>
      </c>
      <c r="E77" s="1022"/>
      <c r="F77" s="302">
        <v>622</v>
      </c>
      <c r="G77" s="84">
        <f t="shared" ref="G77:G140" si="17">G76+1</f>
        <v>48</v>
      </c>
      <c r="H77" s="84"/>
      <c r="I77" s="432">
        <f>SUM(J77:M77)</f>
        <v>0</v>
      </c>
      <c r="J77" s="430"/>
      <c r="K77" s="430"/>
      <c r="L77" s="430"/>
      <c r="M77" s="431"/>
      <c r="N77" s="101"/>
    </row>
    <row r="78" spans="1:14" ht="13.5" thickBot="1" x14ac:dyDescent="0.25">
      <c r="A78" s="978"/>
      <c r="B78" s="1019"/>
      <c r="C78" s="71"/>
      <c r="D78" s="1021" t="s">
        <v>381</v>
      </c>
      <c r="E78" s="1022"/>
      <c r="F78" s="302"/>
      <c r="G78" s="84">
        <f t="shared" si="17"/>
        <v>49</v>
      </c>
      <c r="H78" s="84"/>
      <c r="I78" s="432">
        <f>SUM(J78:M78)</f>
        <v>0</v>
      </c>
      <c r="J78" s="430"/>
      <c r="K78" s="430"/>
      <c r="L78" s="430"/>
      <c r="M78" s="431"/>
      <c r="N78" s="101"/>
    </row>
    <row r="79" spans="1:14" ht="13.5" thickBot="1" x14ac:dyDescent="0.25">
      <c r="A79" s="978"/>
      <c r="B79" s="1019"/>
      <c r="C79" s="71" t="s">
        <v>40</v>
      </c>
      <c r="D79" s="973" t="s">
        <v>432</v>
      </c>
      <c r="E79" s="974"/>
      <c r="F79" s="275"/>
      <c r="G79" s="84">
        <f t="shared" si="17"/>
        <v>50</v>
      </c>
      <c r="H79" s="84"/>
      <c r="I79" s="432">
        <f t="shared" ref="I79:N79" si="18">I80+I82</f>
        <v>0</v>
      </c>
      <c r="J79" s="405">
        <f t="shared" si="18"/>
        <v>0</v>
      </c>
      <c r="K79" s="405">
        <f t="shared" si="18"/>
        <v>0</v>
      </c>
      <c r="L79" s="405">
        <f t="shared" si="18"/>
        <v>0</v>
      </c>
      <c r="M79" s="419">
        <f t="shared" si="18"/>
        <v>0</v>
      </c>
      <c r="N79" s="89">
        <f t="shared" si="18"/>
        <v>0</v>
      </c>
    </row>
    <row r="80" spans="1:14" ht="13.5" thickBot="1" x14ac:dyDescent="0.25">
      <c r="A80" s="978"/>
      <c r="B80" s="1019"/>
      <c r="C80" s="71"/>
      <c r="D80" s="71" t="s">
        <v>278</v>
      </c>
      <c r="E80" s="71" t="s">
        <v>163</v>
      </c>
      <c r="F80" s="86" t="s">
        <v>598</v>
      </c>
      <c r="G80" s="84">
        <f t="shared" si="17"/>
        <v>51</v>
      </c>
      <c r="H80" s="84"/>
      <c r="I80" s="432">
        <f>SUM(J80:M80)</f>
        <v>0</v>
      </c>
      <c r="J80" s="405"/>
      <c r="K80" s="405"/>
      <c r="L80" s="405"/>
      <c r="M80" s="419"/>
      <c r="N80" s="89"/>
    </row>
    <row r="81" spans="1:14" ht="13.5" thickBot="1" x14ac:dyDescent="0.25">
      <c r="A81" s="978"/>
      <c r="B81" s="1019"/>
      <c r="C81" s="71"/>
      <c r="D81" s="71"/>
      <c r="E81" s="71" t="s">
        <v>164</v>
      </c>
      <c r="F81" s="86"/>
      <c r="G81" s="84">
        <f t="shared" si="17"/>
        <v>52</v>
      </c>
      <c r="H81" s="84"/>
      <c r="I81" s="405">
        <f>SUM(J81:M81)</f>
        <v>0</v>
      </c>
      <c r="J81" s="405"/>
      <c r="K81" s="405"/>
      <c r="L81" s="405"/>
      <c r="M81" s="419"/>
      <c r="N81" s="89"/>
    </row>
    <row r="82" spans="1:14" ht="13.5" thickBot="1" x14ac:dyDescent="0.25">
      <c r="A82" s="978"/>
      <c r="B82" s="1019"/>
      <c r="C82" s="71"/>
      <c r="D82" s="71" t="s">
        <v>165</v>
      </c>
      <c r="E82" s="71" t="s">
        <v>166</v>
      </c>
      <c r="F82" s="86" t="s">
        <v>599</v>
      </c>
      <c r="G82" s="84">
        <f t="shared" si="17"/>
        <v>53</v>
      </c>
      <c r="H82" s="84"/>
      <c r="I82" s="405">
        <f>SUM(J82:M82)</f>
        <v>0</v>
      </c>
      <c r="J82" s="405"/>
      <c r="K82" s="405"/>
      <c r="L82" s="405"/>
      <c r="M82" s="419"/>
      <c r="N82" s="89"/>
    </row>
    <row r="83" spans="1:14" ht="23.25" thickBot="1" x14ac:dyDescent="0.25">
      <c r="A83" s="978"/>
      <c r="B83" s="1019"/>
      <c r="C83" s="71"/>
      <c r="D83" s="71"/>
      <c r="E83" s="71" t="s">
        <v>167</v>
      </c>
      <c r="F83" s="86" t="s">
        <v>22</v>
      </c>
      <c r="G83" s="84">
        <f t="shared" si="17"/>
        <v>54</v>
      </c>
      <c r="H83" s="84"/>
      <c r="I83" s="405">
        <f>SUM(J83:M83)</f>
        <v>0</v>
      </c>
      <c r="J83" s="405"/>
      <c r="K83" s="405"/>
      <c r="L83" s="405"/>
      <c r="M83" s="419"/>
      <c r="N83" s="89"/>
    </row>
    <row r="84" spans="1:14" ht="34.5" thickBot="1" x14ac:dyDescent="0.25">
      <c r="A84" s="978"/>
      <c r="B84" s="1019"/>
      <c r="C84" s="71"/>
      <c r="D84" s="71"/>
      <c r="E84" s="71" t="s">
        <v>168</v>
      </c>
      <c r="F84" s="86" t="s">
        <v>22</v>
      </c>
      <c r="G84" s="84">
        <f t="shared" si="17"/>
        <v>55</v>
      </c>
      <c r="H84" s="84"/>
      <c r="I84" s="405">
        <f>SUM(J84:M84)</f>
        <v>0</v>
      </c>
      <c r="J84" s="405"/>
      <c r="K84" s="405"/>
      <c r="L84" s="405"/>
      <c r="M84" s="419"/>
      <c r="N84" s="89"/>
    </row>
    <row r="85" spans="1:14" ht="13.5" thickBot="1" x14ac:dyDescent="0.25">
      <c r="A85" s="978"/>
      <c r="B85" s="1019"/>
      <c r="C85" s="71"/>
      <c r="D85" s="71"/>
      <c r="E85" s="71" t="s">
        <v>169</v>
      </c>
      <c r="F85" s="86" t="s">
        <v>22</v>
      </c>
      <c r="G85" s="84">
        <f t="shared" si="17"/>
        <v>56</v>
      </c>
      <c r="H85" s="84"/>
      <c r="I85" s="432"/>
      <c r="J85" s="405"/>
      <c r="K85" s="405"/>
      <c r="L85" s="405"/>
      <c r="M85" s="419"/>
      <c r="N85" s="89"/>
    </row>
    <row r="86" spans="1:14" ht="13.5" thickBot="1" x14ac:dyDescent="0.25">
      <c r="A86" s="978"/>
      <c r="B86" s="1019"/>
      <c r="C86" s="71" t="s">
        <v>42</v>
      </c>
      <c r="D86" s="973" t="s">
        <v>433</v>
      </c>
      <c r="E86" s="974"/>
      <c r="F86" s="275">
        <v>6582</v>
      </c>
      <c r="G86" s="84">
        <f t="shared" si="17"/>
        <v>57</v>
      </c>
      <c r="H86" s="84"/>
      <c r="I86" s="432">
        <f t="shared" ref="I86:I95" si="19">SUM(J86:M86)</f>
        <v>0</v>
      </c>
      <c r="J86" s="405">
        <f>J87+J88+J89+J90</f>
        <v>0</v>
      </c>
      <c r="K86" s="405">
        <f>K87+K88+K89+K90</f>
        <v>0</v>
      </c>
      <c r="L86" s="405">
        <f>L87+L88+L89+L90</f>
        <v>0</v>
      </c>
      <c r="M86" s="419">
        <f>M87+M88+M89+M90</f>
        <v>0</v>
      </c>
      <c r="N86" s="89">
        <f>N87+N88+N89+N90</f>
        <v>0</v>
      </c>
    </row>
    <row r="87" spans="1:14" ht="13.5" thickBot="1" x14ac:dyDescent="0.25">
      <c r="A87" s="978"/>
      <c r="B87" s="1019"/>
      <c r="C87" s="71"/>
      <c r="D87" s="102" t="s">
        <v>170</v>
      </c>
      <c r="E87" s="102" t="s">
        <v>236</v>
      </c>
      <c r="F87" s="290" t="s">
        <v>600</v>
      </c>
      <c r="G87" s="84">
        <f t="shared" si="17"/>
        <v>58</v>
      </c>
      <c r="H87" s="84"/>
      <c r="I87" s="432">
        <f t="shared" si="19"/>
        <v>0</v>
      </c>
      <c r="J87" s="430"/>
      <c r="K87" s="430"/>
      <c r="L87" s="430"/>
      <c r="M87" s="431"/>
      <c r="N87" s="101"/>
    </row>
    <row r="88" spans="1:14" ht="13.5" thickBot="1" x14ac:dyDescent="0.25">
      <c r="A88" s="978"/>
      <c r="B88" s="1019"/>
      <c r="C88" s="71"/>
      <c r="D88" s="102" t="s">
        <v>171</v>
      </c>
      <c r="E88" s="102" t="s">
        <v>382</v>
      </c>
      <c r="F88" s="290" t="s">
        <v>601</v>
      </c>
      <c r="G88" s="84">
        <f t="shared" si="17"/>
        <v>59</v>
      </c>
      <c r="H88" s="84"/>
      <c r="I88" s="432">
        <f t="shared" si="19"/>
        <v>0</v>
      </c>
      <c r="J88" s="430"/>
      <c r="K88" s="430"/>
      <c r="L88" s="430"/>
      <c r="M88" s="431"/>
      <c r="N88" s="101"/>
    </row>
    <row r="89" spans="1:14" ht="13.5" thickBot="1" x14ac:dyDescent="0.25">
      <c r="A89" s="978"/>
      <c r="B89" s="1019"/>
      <c r="C89" s="71"/>
      <c r="D89" s="102" t="s">
        <v>172</v>
      </c>
      <c r="E89" s="102" t="s">
        <v>383</v>
      </c>
      <c r="F89" s="290" t="s">
        <v>602</v>
      </c>
      <c r="G89" s="84">
        <f t="shared" si="17"/>
        <v>60</v>
      </c>
      <c r="H89" s="84"/>
      <c r="I89" s="432">
        <f t="shared" si="19"/>
        <v>0</v>
      </c>
      <c r="J89" s="430"/>
      <c r="K89" s="430"/>
      <c r="L89" s="430"/>
      <c r="M89" s="431"/>
      <c r="N89" s="101"/>
    </row>
    <row r="90" spans="1:14" ht="13.5" thickBot="1" x14ac:dyDescent="0.25">
      <c r="A90" s="978"/>
      <c r="B90" s="1019"/>
      <c r="C90" s="71"/>
      <c r="D90" s="102" t="s">
        <v>173</v>
      </c>
      <c r="E90" s="102" t="s">
        <v>384</v>
      </c>
      <c r="F90" s="290" t="s">
        <v>603</v>
      </c>
      <c r="G90" s="84">
        <f t="shared" si="17"/>
        <v>61</v>
      </c>
      <c r="H90" s="84"/>
      <c r="I90" s="432">
        <f t="shared" si="19"/>
        <v>0</v>
      </c>
      <c r="J90" s="430"/>
      <c r="K90" s="430"/>
      <c r="L90" s="430"/>
      <c r="M90" s="431"/>
      <c r="N90" s="101"/>
    </row>
    <row r="91" spans="1:14" ht="13.5" thickBot="1" x14ac:dyDescent="0.25">
      <c r="A91" s="978"/>
      <c r="B91" s="1019"/>
      <c r="C91" s="71" t="s">
        <v>28</v>
      </c>
      <c r="D91" s="973" t="s">
        <v>174</v>
      </c>
      <c r="E91" s="974"/>
      <c r="F91" s="275">
        <v>624</v>
      </c>
      <c r="G91" s="84">
        <f t="shared" si="17"/>
        <v>62</v>
      </c>
      <c r="H91" s="84"/>
      <c r="I91" s="432">
        <f t="shared" si="19"/>
        <v>0</v>
      </c>
      <c r="J91" s="430">
        <f>SUM(J92:J94)</f>
        <v>0</v>
      </c>
      <c r="K91" s="430">
        <f>SUM(K92:K94)</f>
        <v>0</v>
      </c>
      <c r="L91" s="430">
        <f>SUM(L92:L94)</f>
        <v>0</v>
      </c>
      <c r="M91" s="431">
        <f>SUM(M92:M94)</f>
        <v>0</v>
      </c>
      <c r="N91" s="101">
        <f>SUM(N92:N94)</f>
        <v>0</v>
      </c>
    </row>
    <row r="92" spans="1:14" ht="13.5" thickBot="1" x14ac:dyDescent="0.25">
      <c r="A92" s="978"/>
      <c r="B92" s="1019"/>
      <c r="C92" s="71"/>
      <c r="D92" s="973" t="s">
        <v>604</v>
      </c>
      <c r="E92" s="974"/>
      <c r="F92" s="303" t="s">
        <v>605</v>
      </c>
      <c r="G92" s="84"/>
      <c r="H92" s="84"/>
      <c r="I92" s="432"/>
      <c r="J92" s="430"/>
      <c r="K92" s="430"/>
      <c r="L92" s="430"/>
      <c r="M92" s="431"/>
      <c r="N92" s="101"/>
    </row>
    <row r="93" spans="1:14" ht="13.5" thickBot="1" x14ac:dyDescent="0.25">
      <c r="A93" s="978"/>
      <c r="B93" s="1019"/>
      <c r="C93" s="71"/>
      <c r="D93" s="973" t="s">
        <v>606</v>
      </c>
      <c r="E93" s="974"/>
      <c r="F93" s="303" t="s">
        <v>607</v>
      </c>
      <c r="G93" s="84"/>
      <c r="H93" s="84"/>
      <c r="I93" s="432"/>
      <c r="J93" s="430"/>
      <c r="K93" s="430"/>
      <c r="L93" s="430"/>
      <c r="M93" s="431"/>
      <c r="N93" s="101"/>
    </row>
    <row r="94" spans="1:14" ht="13.5" thickBot="1" x14ac:dyDescent="0.25">
      <c r="A94" s="978"/>
      <c r="B94" s="1019"/>
      <c r="C94" s="71"/>
      <c r="D94" s="973" t="s">
        <v>608</v>
      </c>
      <c r="E94" s="974"/>
      <c r="F94" s="303">
        <v>624</v>
      </c>
      <c r="G94" s="84"/>
      <c r="H94" s="84"/>
      <c r="I94" s="432"/>
      <c r="J94" s="430"/>
      <c r="K94" s="430"/>
      <c r="L94" s="430"/>
      <c r="M94" s="431"/>
      <c r="N94" s="101"/>
    </row>
    <row r="95" spans="1:14" ht="13.5" thickBot="1" x14ac:dyDescent="0.25">
      <c r="A95" s="978"/>
      <c r="B95" s="1019"/>
      <c r="C95" s="71" t="s">
        <v>34</v>
      </c>
      <c r="D95" s="973" t="s">
        <v>175</v>
      </c>
      <c r="E95" s="974"/>
      <c r="F95" s="275">
        <v>625</v>
      </c>
      <c r="G95" s="84">
        <f>G91+1</f>
        <v>63</v>
      </c>
      <c r="H95" s="84"/>
      <c r="I95" s="432">
        <f t="shared" si="19"/>
        <v>0</v>
      </c>
      <c r="J95" s="405"/>
      <c r="K95" s="405"/>
      <c r="L95" s="405"/>
      <c r="M95" s="419"/>
      <c r="N95" s="89"/>
    </row>
    <row r="96" spans="1:14" ht="13.5" thickBot="1" x14ac:dyDescent="0.25">
      <c r="A96" s="978"/>
      <c r="B96" s="1019"/>
      <c r="C96" s="71"/>
      <c r="D96" s="973" t="s">
        <v>467</v>
      </c>
      <c r="E96" s="974"/>
      <c r="F96" s="275">
        <v>625</v>
      </c>
      <c r="G96" s="84">
        <f t="shared" si="17"/>
        <v>64</v>
      </c>
      <c r="H96" s="84"/>
      <c r="I96" s="432">
        <f t="shared" ref="I96:N96" si="20">I97+I98</f>
        <v>0</v>
      </c>
      <c r="J96" s="405">
        <f t="shared" si="20"/>
        <v>0</v>
      </c>
      <c r="K96" s="405">
        <f t="shared" si="20"/>
        <v>0</v>
      </c>
      <c r="L96" s="405">
        <f t="shared" si="20"/>
        <v>0</v>
      </c>
      <c r="M96" s="419">
        <f t="shared" si="20"/>
        <v>0</v>
      </c>
      <c r="N96" s="89">
        <f t="shared" si="20"/>
        <v>0</v>
      </c>
    </row>
    <row r="97" spans="1:14" ht="13.5" thickBot="1" x14ac:dyDescent="0.25">
      <c r="A97" s="978"/>
      <c r="B97" s="1019"/>
      <c r="C97" s="71"/>
      <c r="D97" s="1021" t="s">
        <v>385</v>
      </c>
      <c r="E97" s="1022"/>
      <c r="F97" s="302" t="s">
        <v>609</v>
      </c>
      <c r="G97" s="84">
        <f t="shared" si="17"/>
        <v>65</v>
      </c>
      <c r="H97" s="84"/>
      <c r="I97" s="430">
        <f t="shared" ref="I97:I110" si="21">SUM(J97:M97)</f>
        <v>0</v>
      </c>
      <c r="J97" s="430"/>
      <c r="K97" s="430"/>
      <c r="L97" s="430"/>
      <c r="M97" s="431"/>
      <c r="N97" s="101"/>
    </row>
    <row r="98" spans="1:14" ht="13.5" thickBot="1" x14ac:dyDescent="0.25">
      <c r="A98" s="978"/>
      <c r="B98" s="1019"/>
      <c r="C98" s="71"/>
      <c r="D98" s="1021" t="s">
        <v>386</v>
      </c>
      <c r="E98" s="1022"/>
      <c r="F98" s="302" t="s">
        <v>610</v>
      </c>
      <c r="G98" s="84">
        <f t="shared" si="17"/>
        <v>66</v>
      </c>
      <c r="H98" s="84"/>
      <c r="I98" s="432">
        <f t="shared" si="21"/>
        <v>0</v>
      </c>
      <c r="J98" s="430"/>
      <c r="K98" s="430"/>
      <c r="L98" s="430"/>
      <c r="M98" s="431"/>
      <c r="N98" s="101"/>
    </row>
    <row r="99" spans="1:14" ht="13.5" thickBot="1" x14ac:dyDescent="0.25">
      <c r="A99" s="978"/>
      <c r="B99" s="1019"/>
      <c r="C99" s="71" t="s">
        <v>35</v>
      </c>
      <c r="D99" s="973" t="s">
        <v>177</v>
      </c>
      <c r="E99" s="974"/>
      <c r="F99" s="275">
        <v>626</v>
      </c>
      <c r="G99" s="84">
        <f t="shared" si="17"/>
        <v>67</v>
      </c>
      <c r="H99" s="84"/>
      <c r="I99" s="432">
        <f t="shared" si="21"/>
        <v>3770</v>
      </c>
      <c r="J99" s="405">
        <v>950</v>
      </c>
      <c r="K99" s="405">
        <v>950</v>
      </c>
      <c r="L99" s="405">
        <v>950</v>
      </c>
      <c r="M99" s="419">
        <v>920</v>
      </c>
      <c r="N99" s="89"/>
    </row>
    <row r="100" spans="1:14" ht="13.5" thickBot="1" x14ac:dyDescent="0.25">
      <c r="A100" s="978"/>
      <c r="B100" s="1019"/>
      <c r="C100" s="71" t="s">
        <v>178</v>
      </c>
      <c r="D100" s="973" t="s">
        <v>179</v>
      </c>
      <c r="E100" s="974"/>
      <c r="F100" s="275">
        <v>627</v>
      </c>
      <c r="G100" s="84">
        <f t="shared" si="17"/>
        <v>68</v>
      </c>
      <c r="H100" s="84"/>
      <c r="I100" s="432">
        <f t="shared" si="21"/>
        <v>1400</v>
      </c>
      <c r="J100" s="405">
        <v>350</v>
      </c>
      <c r="K100" s="405">
        <v>350</v>
      </c>
      <c r="L100" s="405">
        <v>350</v>
      </c>
      <c r="M100" s="419">
        <v>350</v>
      </c>
      <c r="N100" s="89"/>
    </row>
    <row r="101" spans="1:14" ht="13.5" thickBot="1" x14ac:dyDescent="0.25">
      <c r="A101" s="978"/>
      <c r="B101" s="1019"/>
      <c r="C101" s="71" t="s">
        <v>180</v>
      </c>
      <c r="D101" s="973" t="s">
        <v>181</v>
      </c>
      <c r="E101" s="974"/>
      <c r="F101" s="275" t="s">
        <v>611</v>
      </c>
      <c r="G101" s="84">
        <f t="shared" si="17"/>
        <v>69</v>
      </c>
      <c r="H101" s="84"/>
      <c r="I101" s="432">
        <f t="shared" si="21"/>
        <v>30200</v>
      </c>
      <c r="J101" s="405">
        <f>SUM(J102:J109)-J106</f>
        <v>7250</v>
      </c>
      <c r="K101" s="405">
        <f>SUM(K102:K109)-K106</f>
        <v>7850</v>
      </c>
      <c r="L101" s="405">
        <f>SUM(L102:L109)-L106</f>
        <v>7550</v>
      </c>
      <c r="M101" s="419">
        <f>SUM(M102:M109)-M106</f>
        <v>7550</v>
      </c>
      <c r="N101" s="89">
        <f>SUM(N102:N109)-N106</f>
        <v>0</v>
      </c>
    </row>
    <row r="102" spans="1:14" ht="13.5" thickBot="1" x14ac:dyDescent="0.25">
      <c r="A102" s="978"/>
      <c r="B102" s="1019"/>
      <c r="C102" s="71"/>
      <c r="D102" s="71" t="s">
        <v>56</v>
      </c>
      <c r="E102" s="71" t="s">
        <v>182</v>
      </c>
      <c r="F102" s="86" t="s">
        <v>612</v>
      </c>
      <c r="G102" s="84">
        <f t="shared" si="17"/>
        <v>70</v>
      </c>
      <c r="H102" s="84"/>
      <c r="I102" s="432">
        <f t="shared" si="21"/>
        <v>0</v>
      </c>
      <c r="J102" s="405"/>
      <c r="K102" s="405"/>
      <c r="L102" s="405"/>
      <c r="M102" s="419"/>
      <c r="N102" s="89"/>
    </row>
    <row r="103" spans="1:14" ht="13.5" thickBot="1" x14ac:dyDescent="0.25">
      <c r="A103" s="978"/>
      <c r="B103" s="1019"/>
      <c r="C103" s="71"/>
      <c r="D103" s="71" t="s">
        <v>57</v>
      </c>
      <c r="E103" s="71" t="s">
        <v>229</v>
      </c>
      <c r="F103" s="86" t="s">
        <v>613</v>
      </c>
      <c r="G103" s="84">
        <f t="shared" si="17"/>
        <v>71</v>
      </c>
      <c r="H103" s="84"/>
      <c r="I103" s="432">
        <f t="shared" si="21"/>
        <v>0</v>
      </c>
      <c r="J103" s="405"/>
      <c r="K103" s="405"/>
      <c r="L103" s="405"/>
      <c r="M103" s="419"/>
      <c r="N103" s="89"/>
    </row>
    <row r="104" spans="1:14" ht="13.5" thickBot="1" x14ac:dyDescent="0.25">
      <c r="A104" s="978"/>
      <c r="B104" s="1019"/>
      <c r="C104" s="71"/>
      <c r="D104" s="71" t="s">
        <v>58</v>
      </c>
      <c r="E104" s="71" t="s">
        <v>183</v>
      </c>
      <c r="F104" s="86">
        <v>614</v>
      </c>
      <c r="G104" s="84">
        <f t="shared" si="17"/>
        <v>72</v>
      </c>
      <c r="H104" s="84"/>
      <c r="I104" s="432">
        <f t="shared" si="21"/>
        <v>200</v>
      </c>
      <c r="J104" s="405">
        <v>50</v>
      </c>
      <c r="K104" s="405">
        <v>50</v>
      </c>
      <c r="L104" s="405">
        <v>50</v>
      </c>
      <c r="M104" s="419">
        <v>50</v>
      </c>
      <c r="N104" s="89"/>
    </row>
    <row r="105" spans="1:14" ht="23.25" thickBot="1" x14ac:dyDescent="0.25">
      <c r="A105" s="978"/>
      <c r="B105" s="1019"/>
      <c r="C105" s="71"/>
      <c r="D105" s="71" t="s">
        <v>59</v>
      </c>
      <c r="E105" s="71" t="s">
        <v>184</v>
      </c>
      <c r="F105" s="86" t="s">
        <v>614</v>
      </c>
      <c r="G105" s="84">
        <f t="shared" si="17"/>
        <v>73</v>
      </c>
      <c r="H105" s="84"/>
      <c r="I105" s="432">
        <f t="shared" si="21"/>
        <v>0</v>
      </c>
      <c r="J105" s="405"/>
      <c r="K105" s="405"/>
      <c r="L105" s="405"/>
      <c r="M105" s="419"/>
      <c r="N105" s="89"/>
    </row>
    <row r="106" spans="1:14" ht="13.5" thickBot="1" x14ac:dyDescent="0.25">
      <c r="A106" s="978"/>
      <c r="B106" s="1019"/>
      <c r="C106" s="71"/>
      <c r="D106" s="71"/>
      <c r="E106" s="71" t="s">
        <v>387</v>
      </c>
      <c r="F106" s="86"/>
      <c r="G106" s="84">
        <f t="shared" si="17"/>
        <v>74</v>
      </c>
      <c r="H106" s="84"/>
      <c r="I106" s="432">
        <f t="shared" si="21"/>
        <v>0</v>
      </c>
      <c r="J106" s="405"/>
      <c r="K106" s="405"/>
      <c r="L106" s="405"/>
      <c r="M106" s="419"/>
      <c r="N106" s="89"/>
    </row>
    <row r="107" spans="1:14" ht="13.5" thickBot="1" x14ac:dyDescent="0.25">
      <c r="A107" s="978"/>
      <c r="B107" s="1019"/>
      <c r="C107" s="71"/>
      <c r="D107" s="71" t="s">
        <v>60</v>
      </c>
      <c r="E107" s="71" t="s">
        <v>545</v>
      </c>
      <c r="F107" s="86" t="s">
        <v>615</v>
      </c>
      <c r="G107" s="84">
        <f t="shared" si="17"/>
        <v>75</v>
      </c>
      <c r="H107" s="84"/>
      <c r="I107" s="432">
        <f t="shared" si="21"/>
        <v>30000</v>
      </c>
      <c r="J107" s="405">
        <v>7200</v>
      </c>
      <c r="K107" s="405">
        <v>7800</v>
      </c>
      <c r="L107" s="405">
        <v>7500</v>
      </c>
      <c r="M107" s="419">
        <v>7500</v>
      </c>
      <c r="N107" s="89"/>
    </row>
    <row r="108" spans="1:14" ht="23.25" thickBot="1" x14ac:dyDescent="0.25">
      <c r="A108" s="978"/>
      <c r="B108" s="1019"/>
      <c r="C108" s="71"/>
      <c r="D108" s="71" t="s">
        <v>61</v>
      </c>
      <c r="E108" s="71" t="s">
        <v>185</v>
      </c>
      <c r="F108" s="86" t="s">
        <v>22</v>
      </c>
      <c r="G108" s="84">
        <f t="shared" si="17"/>
        <v>76</v>
      </c>
      <c r="H108" s="84"/>
      <c r="I108" s="432">
        <f t="shared" si="21"/>
        <v>0</v>
      </c>
      <c r="J108" s="432"/>
      <c r="K108" s="405"/>
      <c r="L108" s="405"/>
      <c r="M108" s="419"/>
      <c r="N108" s="89"/>
    </row>
    <row r="109" spans="1:14" ht="13.5" thickBot="1" x14ac:dyDescent="0.25">
      <c r="A109" s="978"/>
      <c r="B109" s="1019"/>
      <c r="C109" s="71"/>
      <c r="D109" s="71" t="s">
        <v>62</v>
      </c>
      <c r="E109" s="71" t="s">
        <v>186</v>
      </c>
      <c r="F109" s="86" t="s">
        <v>616</v>
      </c>
      <c r="G109" s="84">
        <f t="shared" si="17"/>
        <v>77</v>
      </c>
      <c r="H109" s="84"/>
      <c r="I109" s="432">
        <f t="shared" si="21"/>
        <v>0</v>
      </c>
      <c r="J109" s="405"/>
      <c r="K109" s="405"/>
      <c r="L109" s="405"/>
      <c r="M109" s="419"/>
      <c r="N109" s="89"/>
    </row>
    <row r="110" spans="1:14" ht="13.5" thickBot="1" x14ac:dyDescent="0.25">
      <c r="A110" s="978"/>
      <c r="B110" s="1019"/>
      <c r="C110" s="71" t="s">
        <v>344</v>
      </c>
      <c r="D110" s="973" t="s">
        <v>149</v>
      </c>
      <c r="E110" s="974"/>
      <c r="F110" s="275">
        <f>SUM(F111:F114)</f>
        <v>0</v>
      </c>
      <c r="G110" s="84">
        <f t="shared" si="17"/>
        <v>78</v>
      </c>
      <c r="H110" s="84"/>
      <c r="I110" s="432">
        <f t="shared" si="21"/>
        <v>444560</v>
      </c>
      <c r="J110" s="405">
        <f>SUM(J111:J114)</f>
        <v>91140</v>
      </c>
      <c r="K110" s="405">
        <f>SUM(K111:K114)</f>
        <v>111140</v>
      </c>
      <c r="L110" s="405">
        <f>SUM(L111:L114)</f>
        <v>131140</v>
      </c>
      <c r="M110" s="419">
        <f>SUM(M111:M114)</f>
        <v>111140</v>
      </c>
      <c r="N110" s="89">
        <f>SUM(N111:N114)</f>
        <v>0</v>
      </c>
    </row>
    <row r="111" spans="1:14" ht="13.5" thickBot="1" x14ac:dyDescent="0.25">
      <c r="A111" s="978"/>
      <c r="B111" s="1019"/>
      <c r="C111" s="278"/>
      <c r="D111" s="304"/>
      <c r="E111" s="279" t="s">
        <v>617</v>
      </c>
      <c r="F111" s="296" t="s">
        <v>618</v>
      </c>
      <c r="G111" s="84"/>
      <c r="H111" s="84"/>
      <c r="I111" s="432"/>
      <c r="J111" s="405">
        <v>540</v>
      </c>
      <c r="K111" s="405">
        <v>540</v>
      </c>
      <c r="L111" s="405">
        <v>540</v>
      </c>
      <c r="M111" s="419">
        <v>540</v>
      </c>
      <c r="N111" s="89"/>
    </row>
    <row r="112" spans="1:14" ht="13.5" thickBot="1" x14ac:dyDescent="0.25">
      <c r="A112" s="978"/>
      <c r="B112" s="1019"/>
      <c r="C112" s="278"/>
      <c r="D112" s="304"/>
      <c r="E112" s="279" t="s">
        <v>619</v>
      </c>
      <c r="F112" s="296" t="s">
        <v>620</v>
      </c>
      <c r="G112" s="84"/>
      <c r="H112" s="84"/>
      <c r="I112" s="432"/>
      <c r="J112" s="405">
        <v>100</v>
      </c>
      <c r="K112" s="405">
        <v>100</v>
      </c>
      <c r="L112" s="405">
        <v>100</v>
      </c>
      <c r="M112" s="419">
        <v>100</v>
      </c>
      <c r="N112" s="89"/>
    </row>
    <row r="113" spans="1:14" ht="13.5" thickBot="1" x14ac:dyDescent="0.25">
      <c r="A113" s="978"/>
      <c r="B113" s="1019"/>
      <c r="C113" s="278"/>
      <c r="D113" s="304"/>
      <c r="E113" s="279" t="s">
        <v>621</v>
      </c>
      <c r="F113" s="305" t="s">
        <v>622</v>
      </c>
      <c r="G113" s="84"/>
      <c r="H113" s="84"/>
      <c r="I113" s="432"/>
      <c r="J113" s="405">
        <v>500</v>
      </c>
      <c r="K113" s="405">
        <v>500</v>
      </c>
      <c r="L113" s="405">
        <v>500</v>
      </c>
      <c r="M113" s="419">
        <v>500</v>
      </c>
      <c r="N113" s="89"/>
    </row>
    <row r="114" spans="1:14" ht="23.25" thickBot="1" x14ac:dyDescent="0.25">
      <c r="A114" s="978"/>
      <c r="B114" s="1019"/>
      <c r="C114" s="278"/>
      <c r="D114" s="304"/>
      <c r="E114" s="279" t="s">
        <v>623</v>
      </c>
      <c r="F114" s="296" t="s">
        <v>624</v>
      </c>
      <c r="G114" s="84"/>
      <c r="H114" s="84"/>
      <c r="I114" s="432"/>
      <c r="J114" s="405">
        <v>90000</v>
      </c>
      <c r="K114" s="405">
        <v>110000</v>
      </c>
      <c r="L114" s="405">
        <v>130000</v>
      </c>
      <c r="M114" s="419">
        <v>110000</v>
      </c>
      <c r="N114" s="89"/>
    </row>
    <row r="115" spans="1:14" ht="24" customHeight="1" thickBot="1" x14ac:dyDescent="0.25">
      <c r="A115" s="978"/>
      <c r="B115" s="1019"/>
      <c r="C115" s="1026" t="s">
        <v>468</v>
      </c>
      <c r="D115" s="1027"/>
      <c r="E115" s="1028"/>
      <c r="F115" s="277"/>
      <c r="G115" s="97">
        <f>G110+1</f>
        <v>79</v>
      </c>
      <c r="H115" s="97"/>
      <c r="I115" s="424">
        <f t="shared" ref="I115:N115" si="22">I116+I117+I118+I119+I120+I121</f>
        <v>43800</v>
      </c>
      <c r="J115" s="424">
        <f t="shared" si="22"/>
        <v>10500</v>
      </c>
      <c r="K115" s="424">
        <f t="shared" si="22"/>
        <v>11300</v>
      </c>
      <c r="L115" s="424">
        <f t="shared" si="22"/>
        <v>11300</v>
      </c>
      <c r="M115" s="425">
        <f t="shared" si="22"/>
        <v>10700</v>
      </c>
      <c r="N115" s="98">
        <f t="shared" si="22"/>
        <v>0</v>
      </c>
    </row>
    <row r="116" spans="1:14" ht="20.25" customHeight="1" thickBot="1" x14ac:dyDescent="0.25">
      <c r="A116" s="978"/>
      <c r="B116" s="1019"/>
      <c r="C116" s="71" t="s">
        <v>27</v>
      </c>
      <c r="D116" s="973" t="s">
        <v>188</v>
      </c>
      <c r="E116" s="974"/>
      <c r="F116" s="275" t="s">
        <v>22</v>
      </c>
      <c r="G116" s="84">
        <f t="shared" si="17"/>
        <v>80</v>
      </c>
      <c r="H116" s="84"/>
      <c r="I116" s="405">
        <f t="shared" ref="I116:I121" si="23">SUM(J116:M116)</f>
        <v>0</v>
      </c>
      <c r="J116" s="405"/>
      <c r="K116" s="405"/>
      <c r="L116" s="405"/>
      <c r="M116" s="419"/>
      <c r="N116" s="89"/>
    </row>
    <row r="117" spans="1:14" ht="13.5" thickBot="1" x14ac:dyDescent="0.25">
      <c r="A117" s="978"/>
      <c r="B117" s="1019"/>
      <c r="C117" s="71" t="s">
        <v>38</v>
      </c>
      <c r="D117" s="973" t="s">
        <v>388</v>
      </c>
      <c r="E117" s="974"/>
      <c r="F117" s="275" t="s">
        <v>625</v>
      </c>
      <c r="G117" s="84">
        <f t="shared" si="17"/>
        <v>81</v>
      </c>
      <c r="H117" s="84"/>
      <c r="I117" s="405">
        <f t="shared" si="23"/>
        <v>30000</v>
      </c>
      <c r="J117" s="405">
        <v>7500</v>
      </c>
      <c r="K117" s="405">
        <v>7500</v>
      </c>
      <c r="L117" s="405">
        <v>7500</v>
      </c>
      <c r="M117" s="419">
        <v>7500</v>
      </c>
      <c r="N117" s="89"/>
    </row>
    <row r="118" spans="1:14" ht="13.5" thickBot="1" x14ac:dyDescent="0.25">
      <c r="A118" s="978"/>
      <c r="B118" s="1019"/>
      <c r="C118" s="71" t="s">
        <v>40</v>
      </c>
      <c r="D118" s="973" t="s">
        <v>41</v>
      </c>
      <c r="E118" s="974"/>
      <c r="F118" s="275" t="s">
        <v>626</v>
      </c>
      <c r="G118" s="84">
        <f t="shared" si="17"/>
        <v>82</v>
      </c>
      <c r="H118" s="84"/>
      <c r="I118" s="405">
        <f t="shared" si="23"/>
        <v>0</v>
      </c>
      <c r="J118" s="405"/>
      <c r="K118" s="405"/>
      <c r="L118" s="405"/>
      <c r="M118" s="419"/>
      <c r="N118" s="89"/>
    </row>
    <row r="119" spans="1:14" ht="13.5" thickBot="1" x14ac:dyDescent="0.25">
      <c r="A119" s="979"/>
      <c r="B119" s="1020"/>
      <c r="C119" s="71" t="s">
        <v>42</v>
      </c>
      <c r="D119" s="973" t="s">
        <v>43</v>
      </c>
      <c r="E119" s="974"/>
      <c r="F119" s="275" t="s">
        <v>627</v>
      </c>
      <c r="G119" s="84">
        <f t="shared" si="17"/>
        <v>83</v>
      </c>
      <c r="H119" s="84"/>
      <c r="I119" s="405">
        <f t="shared" si="23"/>
        <v>2600</v>
      </c>
      <c r="J119" s="405">
        <v>500</v>
      </c>
      <c r="K119" s="405">
        <v>700</v>
      </c>
      <c r="L119" s="405">
        <v>700</v>
      </c>
      <c r="M119" s="419">
        <v>700</v>
      </c>
      <c r="N119" s="89"/>
    </row>
    <row r="120" spans="1:14" ht="13.5" thickBot="1" x14ac:dyDescent="0.25">
      <c r="A120" s="977"/>
      <c r="B120" s="1018"/>
      <c r="C120" s="71" t="s">
        <v>28</v>
      </c>
      <c r="D120" s="973" t="s">
        <v>44</v>
      </c>
      <c r="E120" s="974"/>
      <c r="F120" s="275" t="s">
        <v>628</v>
      </c>
      <c r="G120" s="84">
        <f t="shared" si="17"/>
        <v>84</v>
      </c>
      <c r="H120" s="84"/>
      <c r="I120" s="405">
        <f t="shared" si="23"/>
        <v>0</v>
      </c>
      <c r="J120" s="405"/>
      <c r="K120" s="405"/>
      <c r="L120" s="405"/>
      <c r="M120" s="419"/>
      <c r="N120" s="89"/>
    </row>
    <row r="121" spans="1:14" ht="13.5" thickBot="1" x14ac:dyDescent="0.25">
      <c r="A121" s="978"/>
      <c r="B121" s="1019"/>
      <c r="C121" s="71" t="s">
        <v>34</v>
      </c>
      <c r="D121" s="1029" t="s">
        <v>45</v>
      </c>
      <c r="E121" s="1032"/>
      <c r="F121" s="275" t="s">
        <v>629</v>
      </c>
      <c r="G121" s="84">
        <f t="shared" si="17"/>
        <v>85</v>
      </c>
      <c r="H121" s="84"/>
      <c r="I121" s="405">
        <f t="shared" si="23"/>
        <v>11200</v>
      </c>
      <c r="J121" s="405">
        <v>2500</v>
      </c>
      <c r="K121" s="405">
        <v>3100</v>
      </c>
      <c r="L121" s="405">
        <v>3100</v>
      </c>
      <c r="M121" s="419">
        <v>2500</v>
      </c>
      <c r="N121" s="89">
        <f>SUM(N122:N130)</f>
        <v>0</v>
      </c>
    </row>
    <row r="122" spans="1:14" ht="13.5" thickBot="1" x14ac:dyDescent="0.25">
      <c r="A122" s="978"/>
      <c r="B122" s="1019"/>
      <c r="C122" s="278"/>
      <c r="D122" s="278"/>
      <c r="E122" s="279" t="s">
        <v>630</v>
      </c>
      <c r="F122" s="296" t="s">
        <v>631</v>
      </c>
      <c r="G122" s="84"/>
      <c r="H122" s="84"/>
      <c r="I122" s="405"/>
      <c r="J122" s="405">
        <v>800</v>
      </c>
      <c r="K122" s="405">
        <v>900</v>
      </c>
      <c r="L122" s="405">
        <v>850</v>
      </c>
      <c r="M122" s="419">
        <v>790</v>
      </c>
      <c r="N122" s="89"/>
    </row>
    <row r="123" spans="1:14" ht="13.5" thickBot="1" x14ac:dyDescent="0.25">
      <c r="A123" s="978"/>
      <c r="B123" s="1019"/>
      <c r="C123" s="278"/>
      <c r="D123" s="278"/>
      <c r="E123" s="279" t="s">
        <v>632</v>
      </c>
      <c r="F123" s="296" t="s">
        <v>633</v>
      </c>
      <c r="G123" s="84"/>
      <c r="H123" s="84"/>
      <c r="I123" s="405"/>
      <c r="J123" s="405">
        <v>700</v>
      </c>
      <c r="K123" s="405">
        <v>700</v>
      </c>
      <c r="L123" s="405">
        <v>700</v>
      </c>
      <c r="M123" s="419">
        <v>700</v>
      </c>
      <c r="N123" s="89"/>
    </row>
    <row r="124" spans="1:14" ht="13.5" thickBot="1" x14ac:dyDescent="0.25">
      <c r="A124" s="978"/>
      <c r="B124" s="1019"/>
      <c r="C124" s="278"/>
      <c r="D124" s="278"/>
      <c r="E124" s="279" t="s">
        <v>634</v>
      </c>
      <c r="F124" s="296" t="s">
        <v>635</v>
      </c>
      <c r="G124" s="84"/>
      <c r="H124" s="84"/>
      <c r="I124" s="405"/>
      <c r="J124" s="405"/>
      <c r="K124" s="405"/>
      <c r="L124" s="405"/>
      <c r="M124" s="419"/>
      <c r="N124" s="89"/>
    </row>
    <row r="125" spans="1:14" ht="13.5" thickBot="1" x14ac:dyDescent="0.25">
      <c r="A125" s="978"/>
      <c r="B125" s="1019"/>
      <c r="C125" s="278"/>
      <c r="D125" s="278"/>
      <c r="E125" s="279" t="s">
        <v>636</v>
      </c>
      <c r="F125" s="296" t="s">
        <v>637</v>
      </c>
      <c r="G125" s="84"/>
      <c r="H125" s="84"/>
      <c r="I125" s="405"/>
      <c r="J125" s="405">
        <v>1225</v>
      </c>
      <c r="K125" s="405">
        <v>1225</v>
      </c>
      <c r="L125" s="405">
        <v>1225</v>
      </c>
      <c r="M125" s="419">
        <v>1225</v>
      </c>
      <c r="N125" s="89"/>
    </row>
    <row r="126" spans="1:14" ht="13.5" thickBot="1" x14ac:dyDescent="0.25">
      <c r="A126" s="978"/>
      <c r="B126" s="1019"/>
      <c r="C126" s="278"/>
      <c r="D126" s="278"/>
      <c r="E126" s="279" t="s">
        <v>638</v>
      </c>
      <c r="F126" s="296" t="s">
        <v>639</v>
      </c>
      <c r="G126" s="84"/>
      <c r="H126" s="84"/>
      <c r="I126" s="405"/>
      <c r="J126" s="405">
        <v>42</v>
      </c>
      <c r="K126" s="405">
        <v>42</v>
      </c>
      <c r="L126" s="405">
        <v>42</v>
      </c>
      <c r="M126" s="419">
        <v>42</v>
      </c>
      <c r="N126" s="89"/>
    </row>
    <row r="127" spans="1:14" ht="13.5" thickBot="1" x14ac:dyDescent="0.25">
      <c r="A127" s="978"/>
      <c r="B127" s="1019"/>
      <c r="C127" s="278"/>
      <c r="D127" s="278"/>
      <c r="E127" s="279" t="s">
        <v>640</v>
      </c>
      <c r="F127" s="296" t="s">
        <v>641</v>
      </c>
      <c r="G127" s="84"/>
      <c r="H127" s="84"/>
      <c r="I127" s="405"/>
      <c r="J127" s="405">
        <v>8</v>
      </c>
      <c r="K127" s="405">
        <v>8</v>
      </c>
      <c r="L127" s="405">
        <v>8</v>
      </c>
      <c r="M127" s="419">
        <v>8</v>
      </c>
      <c r="N127" s="89"/>
    </row>
    <row r="128" spans="1:14" ht="13.5" thickBot="1" x14ac:dyDescent="0.25">
      <c r="A128" s="978"/>
      <c r="B128" s="1019"/>
      <c r="C128" s="278"/>
      <c r="D128" s="278"/>
      <c r="E128" s="279" t="s">
        <v>642</v>
      </c>
      <c r="F128" s="296" t="s">
        <v>643</v>
      </c>
      <c r="G128" s="84"/>
      <c r="H128" s="84"/>
      <c r="I128" s="405"/>
      <c r="J128" s="405"/>
      <c r="K128" s="405"/>
      <c r="L128" s="405"/>
      <c r="M128" s="419"/>
      <c r="N128" s="89"/>
    </row>
    <row r="129" spans="1:14" ht="13.5" thickBot="1" x14ac:dyDescent="0.25">
      <c r="A129" s="978"/>
      <c r="B129" s="1019"/>
      <c r="C129" s="278"/>
      <c r="D129" s="278"/>
      <c r="E129" s="279" t="s">
        <v>644</v>
      </c>
      <c r="F129" s="296" t="s">
        <v>645</v>
      </c>
      <c r="G129" s="84"/>
      <c r="H129" s="84"/>
      <c r="I129" s="405"/>
      <c r="J129" s="405">
        <v>110</v>
      </c>
      <c r="K129" s="405">
        <v>110</v>
      </c>
      <c r="L129" s="405">
        <v>110</v>
      </c>
      <c r="M129" s="419">
        <v>110</v>
      </c>
      <c r="N129" s="89"/>
    </row>
    <row r="130" spans="1:14" ht="13.5" thickBot="1" x14ac:dyDescent="0.25">
      <c r="A130" s="978"/>
      <c r="B130" s="1019"/>
      <c r="C130" s="278"/>
      <c r="D130" s="278"/>
      <c r="E130" s="279" t="s">
        <v>646</v>
      </c>
      <c r="F130" s="296" t="s">
        <v>647</v>
      </c>
      <c r="G130" s="84"/>
      <c r="H130" s="84"/>
      <c r="I130" s="405"/>
      <c r="J130" s="405"/>
      <c r="K130" s="405"/>
      <c r="L130" s="405"/>
      <c r="M130" s="419"/>
      <c r="N130" s="89"/>
    </row>
    <row r="131" spans="1:14" ht="21" customHeight="1" thickBot="1" x14ac:dyDescent="0.25">
      <c r="A131" s="978"/>
      <c r="B131" s="1019"/>
      <c r="C131" s="1026" t="s">
        <v>474</v>
      </c>
      <c r="D131" s="1027"/>
      <c r="E131" s="1028"/>
      <c r="F131" s="277"/>
      <c r="G131" s="97">
        <f>G121+1</f>
        <v>86</v>
      </c>
      <c r="H131" s="97"/>
      <c r="I131" s="472">
        <f t="shared" ref="I131:N131" si="24">I133+I137+I145+I149+I158</f>
        <v>1097147.0703</v>
      </c>
      <c r="J131" s="424">
        <f t="shared" si="24"/>
        <v>230157.01972000001</v>
      </c>
      <c r="K131" s="424">
        <f t="shared" si="24"/>
        <v>310524.36048000003</v>
      </c>
      <c r="L131" s="424">
        <f t="shared" si="24"/>
        <v>274729.49248000002</v>
      </c>
      <c r="M131" s="425">
        <f t="shared" si="24"/>
        <v>281736.19761999999</v>
      </c>
      <c r="N131" s="98">
        <f t="shared" si="24"/>
        <v>0</v>
      </c>
    </row>
    <row r="132" spans="1:14" ht="13.5" thickBot="1" x14ac:dyDescent="0.25">
      <c r="A132" s="978"/>
      <c r="B132" s="1019"/>
      <c r="C132" s="306" t="s">
        <v>396</v>
      </c>
      <c r="D132" s="1033" t="s">
        <v>413</v>
      </c>
      <c r="E132" s="1034"/>
      <c r="F132" s="307">
        <v>641</v>
      </c>
      <c r="G132" s="308">
        <f t="shared" si="17"/>
        <v>87</v>
      </c>
      <c r="H132" s="308"/>
      <c r="I132" s="433">
        <f t="shared" ref="I132:N132" si="25">I133+I137</f>
        <v>908100</v>
      </c>
      <c r="J132" s="433">
        <f t="shared" si="25"/>
        <v>190598</v>
      </c>
      <c r="K132" s="433">
        <f t="shared" si="25"/>
        <v>258273</v>
      </c>
      <c r="L132" s="433">
        <f t="shared" si="25"/>
        <v>226174</v>
      </c>
      <c r="M132" s="434">
        <f t="shared" si="25"/>
        <v>233055</v>
      </c>
      <c r="N132" s="309">
        <f t="shared" si="25"/>
        <v>0</v>
      </c>
    </row>
    <row r="133" spans="1:14" ht="20.25" customHeight="1" thickBot="1" x14ac:dyDescent="0.25">
      <c r="A133" s="978"/>
      <c r="B133" s="1019"/>
      <c r="C133" s="293" t="s">
        <v>46</v>
      </c>
      <c r="D133" s="1026" t="s">
        <v>189</v>
      </c>
      <c r="E133" s="1028"/>
      <c r="F133" s="277">
        <v>641</v>
      </c>
      <c r="G133" s="97">
        <f t="shared" si="17"/>
        <v>88</v>
      </c>
      <c r="H133" s="97"/>
      <c r="I133" s="424">
        <f t="shared" ref="I133:N133" si="26">I134+I135+I136</f>
        <v>783645</v>
      </c>
      <c r="J133" s="424">
        <f t="shared" si="26"/>
        <v>173398</v>
      </c>
      <c r="K133" s="424">
        <f t="shared" si="26"/>
        <v>184032</v>
      </c>
      <c r="L133" s="424">
        <f t="shared" si="26"/>
        <v>212832</v>
      </c>
      <c r="M133" s="425">
        <f t="shared" si="26"/>
        <v>213383</v>
      </c>
      <c r="N133" s="98">
        <f t="shared" si="26"/>
        <v>0</v>
      </c>
    </row>
    <row r="134" spans="1:14" ht="13.5" thickBot="1" x14ac:dyDescent="0.25">
      <c r="A134" s="978"/>
      <c r="B134" s="1019"/>
      <c r="C134" s="1018"/>
      <c r="D134" s="973" t="s">
        <v>190</v>
      </c>
      <c r="E134" s="974"/>
      <c r="F134" s="275">
        <v>641</v>
      </c>
      <c r="G134" s="84">
        <f t="shared" si="17"/>
        <v>89</v>
      </c>
      <c r="H134" s="84"/>
      <c r="I134" s="430">
        <f>SUM(J134:M134)</f>
        <v>610266</v>
      </c>
      <c r="J134" s="405">
        <v>147900</v>
      </c>
      <c r="K134" s="405">
        <v>153000</v>
      </c>
      <c r="L134" s="405">
        <v>153000</v>
      </c>
      <c r="M134" s="419">
        <v>156366</v>
      </c>
      <c r="N134" s="89"/>
    </row>
    <row r="135" spans="1:14" ht="24" customHeight="1" thickBot="1" x14ac:dyDescent="0.25">
      <c r="A135" s="978"/>
      <c r="B135" s="1019"/>
      <c r="C135" s="1019"/>
      <c r="D135" s="973" t="s">
        <v>191</v>
      </c>
      <c r="E135" s="974"/>
      <c r="F135" s="275"/>
      <c r="G135" s="84">
        <f t="shared" si="17"/>
        <v>90</v>
      </c>
      <c r="H135" s="84"/>
      <c r="I135" s="430">
        <f>SUM(J135:M135)</f>
        <v>87879</v>
      </c>
      <c r="J135" s="405">
        <v>21298</v>
      </c>
      <c r="K135" s="405">
        <v>22032</v>
      </c>
      <c r="L135" s="405">
        <v>22032</v>
      </c>
      <c r="M135" s="419">
        <v>22517</v>
      </c>
      <c r="N135" s="89"/>
    </row>
    <row r="136" spans="1:14" ht="13.5" thickBot="1" x14ac:dyDescent="0.25">
      <c r="A136" s="978"/>
      <c r="B136" s="1019"/>
      <c r="C136" s="1020"/>
      <c r="D136" s="973" t="s">
        <v>192</v>
      </c>
      <c r="E136" s="974"/>
      <c r="F136" s="275"/>
      <c r="G136" s="84">
        <f t="shared" si="17"/>
        <v>91</v>
      </c>
      <c r="H136" s="84"/>
      <c r="I136" s="430">
        <f>SUM(J136:M136)</f>
        <v>85500</v>
      </c>
      <c r="J136" s="405">
        <v>4200</v>
      </c>
      <c r="K136" s="405">
        <v>9000</v>
      </c>
      <c r="L136" s="405">
        <v>37800</v>
      </c>
      <c r="M136" s="419">
        <v>34500</v>
      </c>
      <c r="N136" s="89"/>
    </row>
    <row r="137" spans="1:14" ht="17.25" customHeight="1" thickBot="1" x14ac:dyDescent="0.25">
      <c r="A137" s="978"/>
      <c r="B137" s="1019"/>
      <c r="C137" s="293" t="s">
        <v>67</v>
      </c>
      <c r="D137" s="1026" t="s">
        <v>389</v>
      </c>
      <c r="E137" s="1028"/>
      <c r="F137" s="277"/>
      <c r="G137" s="97">
        <f t="shared" si="17"/>
        <v>92</v>
      </c>
      <c r="H137" s="97"/>
      <c r="I137" s="424">
        <f t="shared" ref="I137:N137" si="27">I138+I141+I142+I143+I144</f>
        <v>124455</v>
      </c>
      <c r="J137" s="424">
        <f t="shared" si="27"/>
        <v>17200</v>
      </c>
      <c r="K137" s="424">
        <f t="shared" si="27"/>
        <v>74241</v>
      </c>
      <c r="L137" s="424">
        <f t="shared" si="27"/>
        <v>13342</v>
      </c>
      <c r="M137" s="425">
        <f t="shared" si="27"/>
        <v>19672</v>
      </c>
      <c r="N137" s="98">
        <f t="shared" si="27"/>
        <v>0</v>
      </c>
    </row>
    <row r="138" spans="1:14" ht="33" customHeight="1" thickBot="1" x14ac:dyDescent="0.25">
      <c r="A138" s="978"/>
      <c r="B138" s="1019"/>
      <c r="C138" s="71"/>
      <c r="D138" s="973" t="s">
        <v>187</v>
      </c>
      <c r="E138" s="974"/>
      <c r="F138" s="275">
        <v>6458</v>
      </c>
      <c r="G138" s="84">
        <f t="shared" si="17"/>
        <v>93</v>
      </c>
      <c r="H138" s="84"/>
      <c r="I138" s="485">
        <f t="shared" ref="I138:I144" si="28">SUM(J138:M138)</f>
        <v>16000</v>
      </c>
      <c r="J138" s="485">
        <v>1000</v>
      </c>
      <c r="K138" s="485">
        <v>12000</v>
      </c>
      <c r="L138" s="485">
        <v>1000</v>
      </c>
      <c r="M138" s="492">
        <v>2000</v>
      </c>
      <c r="N138" s="89"/>
    </row>
    <row r="139" spans="1:14" ht="13.5" thickBot="1" x14ac:dyDescent="0.25">
      <c r="A139" s="978"/>
      <c r="B139" s="1019"/>
      <c r="C139" s="71"/>
      <c r="D139" s="71"/>
      <c r="E139" s="71" t="s">
        <v>193</v>
      </c>
      <c r="F139" s="86"/>
      <c r="G139" s="84">
        <f t="shared" si="17"/>
        <v>94</v>
      </c>
      <c r="H139" s="84"/>
      <c r="I139" s="405">
        <f t="shared" si="28"/>
        <v>0</v>
      </c>
      <c r="J139" s="405"/>
      <c r="K139" s="405"/>
      <c r="L139" s="405"/>
      <c r="M139" s="419"/>
      <c r="N139" s="89"/>
    </row>
    <row r="140" spans="1:14" ht="23.25" thickBot="1" x14ac:dyDescent="0.25">
      <c r="A140" s="978"/>
      <c r="B140" s="1019"/>
      <c r="C140" s="71"/>
      <c r="D140" s="71"/>
      <c r="E140" s="71" t="s">
        <v>194</v>
      </c>
      <c r="F140" s="86" t="s">
        <v>648</v>
      </c>
      <c r="G140" s="84">
        <f t="shared" si="17"/>
        <v>95</v>
      </c>
      <c r="H140" s="84"/>
      <c r="I140" s="405">
        <f t="shared" si="28"/>
        <v>12000</v>
      </c>
      <c r="J140" s="405"/>
      <c r="K140" s="405">
        <v>12000</v>
      </c>
      <c r="L140" s="405"/>
      <c r="M140" s="419"/>
      <c r="N140" s="89"/>
    </row>
    <row r="141" spans="1:14" ht="13.5" thickBot="1" x14ac:dyDescent="0.25">
      <c r="A141" s="978"/>
      <c r="B141" s="1019"/>
      <c r="C141" s="71"/>
      <c r="D141" s="973" t="s">
        <v>74</v>
      </c>
      <c r="E141" s="974"/>
      <c r="F141" s="275" t="s">
        <v>649</v>
      </c>
      <c r="G141" s="84">
        <f t="shared" ref="G141:G175" si="29">G140+1</f>
        <v>96</v>
      </c>
      <c r="H141" s="84"/>
      <c r="I141" s="405">
        <f t="shared" si="28"/>
        <v>63455</v>
      </c>
      <c r="J141" s="405">
        <v>16200</v>
      </c>
      <c r="K141" s="405">
        <v>17241</v>
      </c>
      <c r="L141" s="405">
        <v>12342</v>
      </c>
      <c r="M141" s="419">
        <v>17672</v>
      </c>
      <c r="N141" s="89"/>
    </row>
    <row r="142" spans="1:14" ht="13.5" thickBot="1" x14ac:dyDescent="0.25">
      <c r="A142" s="978"/>
      <c r="B142" s="1019"/>
      <c r="C142" s="71"/>
      <c r="D142" s="973" t="s">
        <v>195</v>
      </c>
      <c r="E142" s="974"/>
      <c r="F142" s="275"/>
      <c r="G142" s="84">
        <f t="shared" si="29"/>
        <v>97</v>
      </c>
      <c r="H142" s="84"/>
      <c r="I142" s="405">
        <f t="shared" si="28"/>
        <v>0</v>
      </c>
      <c r="J142" s="405"/>
      <c r="K142" s="405"/>
      <c r="L142" s="405"/>
      <c r="M142" s="419"/>
      <c r="N142" s="89"/>
    </row>
    <row r="143" spans="1:14" ht="20.25" customHeight="1" thickBot="1" x14ac:dyDescent="0.25">
      <c r="A143" s="978"/>
      <c r="B143" s="1019"/>
      <c r="C143" s="71"/>
      <c r="D143" s="973" t="s">
        <v>390</v>
      </c>
      <c r="E143" s="974"/>
      <c r="F143" s="275">
        <v>643</v>
      </c>
      <c r="G143" s="84">
        <f t="shared" si="29"/>
        <v>98</v>
      </c>
      <c r="H143" s="84"/>
      <c r="I143" s="405">
        <f t="shared" si="28"/>
        <v>45000</v>
      </c>
      <c r="J143" s="405"/>
      <c r="K143" s="405">
        <v>45000</v>
      </c>
      <c r="L143" s="405"/>
      <c r="M143" s="419"/>
      <c r="N143" s="89"/>
    </row>
    <row r="144" spans="1:14" ht="13.5" thickBot="1" x14ac:dyDescent="0.25">
      <c r="A144" s="978"/>
      <c r="B144" s="1019"/>
      <c r="C144" s="71"/>
      <c r="D144" s="973" t="s">
        <v>196</v>
      </c>
      <c r="E144" s="974"/>
      <c r="F144" s="275"/>
      <c r="G144" s="84">
        <f t="shared" si="29"/>
        <v>99</v>
      </c>
      <c r="H144" s="84"/>
      <c r="I144" s="405">
        <f t="shared" si="28"/>
        <v>0</v>
      </c>
      <c r="J144" s="405"/>
      <c r="K144" s="405"/>
      <c r="L144" s="405"/>
      <c r="M144" s="419"/>
      <c r="N144" s="89"/>
    </row>
    <row r="145" spans="1:14" ht="22.5" customHeight="1" thickBot="1" x14ac:dyDescent="0.25">
      <c r="A145" s="978"/>
      <c r="B145" s="1019"/>
      <c r="C145" s="293" t="s">
        <v>124</v>
      </c>
      <c r="D145" s="1026" t="s">
        <v>197</v>
      </c>
      <c r="E145" s="1028"/>
      <c r="F145" s="277"/>
      <c r="G145" s="97">
        <f t="shared" si="29"/>
        <v>100</v>
      </c>
      <c r="H145" s="97"/>
      <c r="I145" s="424">
        <f t="shared" ref="I145:N145" si="30">I146+I147+I148</f>
        <v>0</v>
      </c>
      <c r="J145" s="424">
        <f t="shared" si="30"/>
        <v>0</v>
      </c>
      <c r="K145" s="424">
        <f t="shared" si="30"/>
        <v>0</v>
      </c>
      <c r="L145" s="424">
        <f t="shared" si="30"/>
        <v>0</v>
      </c>
      <c r="M145" s="425">
        <f t="shared" si="30"/>
        <v>0</v>
      </c>
      <c r="N145" s="98">
        <f t="shared" si="30"/>
        <v>0</v>
      </c>
    </row>
    <row r="146" spans="1:14" ht="21.75" customHeight="1" thickBot="1" x14ac:dyDescent="0.25">
      <c r="A146" s="978"/>
      <c r="B146" s="1019"/>
      <c r="C146" s="71"/>
      <c r="D146" s="973" t="s">
        <v>198</v>
      </c>
      <c r="E146" s="974"/>
      <c r="F146" s="275" t="s">
        <v>22</v>
      </c>
      <c r="G146" s="84">
        <f t="shared" si="29"/>
        <v>101</v>
      </c>
      <c r="H146" s="84"/>
      <c r="I146" s="405">
        <f>SUM(J146:M146)</f>
        <v>0</v>
      </c>
      <c r="J146" s="405">
        <v>0</v>
      </c>
      <c r="K146" s="405">
        <v>0</v>
      </c>
      <c r="L146" s="405">
        <v>0</v>
      </c>
      <c r="M146" s="419">
        <v>0</v>
      </c>
      <c r="N146" s="89">
        <v>0</v>
      </c>
    </row>
    <row r="147" spans="1:14" ht="23.25" customHeight="1" thickBot="1" x14ac:dyDescent="0.25">
      <c r="A147" s="978"/>
      <c r="B147" s="1019"/>
      <c r="C147" s="71"/>
      <c r="D147" s="973" t="s">
        <v>199</v>
      </c>
      <c r="E147" s="974"/>
      <c r="F147" s="275" t="s">
        <v>22</v>
      </c>
      <c r="G147" s="84">
        <f t="shared" si="29"/>
        <v>102</v>
      </c>
      <c r="H147" s="84"/>
      <c r="I147" s="405">
        <f>SUM(J147:M147)</f>
        <v>0</v>
      </c>
      <c r="J147" s="405">
        <v>0</v>
      </c>
      <c r="K147" s="405">
        <v>0</v>
      </c>
      <c r="L147" s="405">
        <v>0</v>
      </c>
      <c r="M147" s="419">
        <v>0</v>
      </c>
      <c r="N147" s="89">
        <v>0</v>
      </c>
    </row>
    <row r="148" spans="1:14" ht="21" customHeight="1" thickBot="1" x14ac:dyDescent="0.25">
      <c r="A148" s="978"/>
      <c r="B148" s="1019"/>
      <c r="C148" s="71"/>
      <c r="D148" s="973" t="s">
        <v>200</v>
      </c>
      <c r="E148" s="974"/>
      <c r="F148" s="275" t="s">
        <v>22</v>
      </c>
      <c r="G148" s="84">
        <f t="shared" si="29"/>
        <v>103</v>
      </c>
      <c r="H148" s="84"/>
      <c r="I148" s="405">
        <f>SUM(J148:M148)</f>
        <v>0</v>
      </c>
      <c r="J148" s="405">
        <v>0</v>
      </c>
      <c r="K148" s="405">
        <v>0</v>
      </c>
      <c r="L148" s="405">
        <v>0</v>
      </c>
      <c r="M148" s="419">
        <v>0</v>
      </c>
      <c r="N148" s="89">
        <v>0</v>
      </c>
    </row>
    <row r="149" spans="1:14" ht="22.5" customHeight="1" thickBot="1" x14ac:dyDescent="0.25">
      <c r="A149" s="978"/>
      <c r="B149" s="1019"/>
      <c r="C149" s="293" t="s">
        <v>63</v>
      </c>
      <c r="D149" s="986" t="s">
        <v>75</v>
      </c>
      <c r="E149" s="988"/>
      <c r="F149" s="276"/>
      <c r="G149" s="97">
        <f t="shared" si="29"/>
        <v>104</v>
      </c>
      <c r="H149" s="97"/>
      <c r="I149" s="426">
        <f t="shared" ref="I149:N149" si="31">I150+I153+I156+I157</f>
        <v>0</v>
      </c>
      <c r="J149" s="426">
        <f t="shared" si="31"/>
        <v>0</v>
      </c>
      <c r="K149" s="426">
        <f t="shared" si="31"/>
        <v>0</v>
      </c>
      <c r="L149" s="426">
        <f t="shared" si="31"/>
        <v>0</v>
      </c>
      <c r="M149" s="427">
        <f t="shared" si="31"/>
        <v>0</v>
      </c>
      <c r="N149" s="100">
        <f t="shared" si="31"/>
        <v>0</v>
      </c>
    </row>
    <row r="150" spans="1:14" ht="13.5" thickBot="1" x14ac:dyDescent="0.25">
      <c r="A150" s="978"/>
      <c r="B150" s="1019"/>
      <c r="C150" s="1018"/>
      <c r="D150" s="973" t="s">
        <v>282</v>
      </c>
      <c r="E150" s="974"/>
      <c r="F150" s="275" t="s">
        <v>650</v>
      </c>
      <c r="G150" s="84">
        <f t="shared" si="29"/>
        <v>105</v>
      </c>
      <c r="H150" s="84"/>
      <c r="I150" s="435">
        <f t="shared" ref="I150:I155" si="32">SUM(J150:M150)</f>
        <v>0</v>
      </c>
      <c r="J150" s="435">
        <f>SUM(J151:J152)</f>
        <v>0</v>
      </c>
      <c r="K150" s="435">
        <f>SUM(K151:K152)</f>
        <v>0</v>
      </c>
      <c r="L150" s="435">
        <f>SUM(L151:L152)</f>
        <v>0</v>
      </c>
      <c r="M150" s="436">
        <f>SUM(M151:M152)</f>
        <v>0</v>
      </c>
      <c r="N150" s="250">
        <f>SUM(N151:N152)</f>
        <v>0</v>
      </c>
    </row>
    <row r="151" spans="1:14" ht="13.5" thickBot="1" x14ac:dyDescent="0.25">
      <c r="A151" s="978"/>
      <c r="B151" s="1019"/>
      <c r="C151" s="1019"/>
      <c r="D151" s="306"/>
      <c r="E151" s="310" t="s">
        <v>414</v>
      </c>
      <c r="F151" s="311"/>
      <c r="G151" s="308">
        <f t="shared" si="29"/>
        <v>106</v>
      </c>
      <c r="H151" s="308"/>
      <c r="I151" s="437">
        <f t="shared" si="32"/>
        <v>0</v>
      </c>
      <c r="J151" s="437"/>
      <c r="K151" s="437"/>
      <c r="L151" s="437"/>
      <c r="M151" s="438"/>
      <c r="N151" s="312"/>
    </row>
    <row r="152" spans="1:14" ht="13.5" thickBot="1" x14ac:dyDescent="0.25">
      <c r="A152" s="978"/>
      <c r="B152" s="1019"/>
      <c r="C152" s="1019"/>
      <c r="D152" s="306"/>
      <c r="E152" s="310" t="s">
        <v>415</v>
      </c>
      <c r="F152" s="311"/>
      <c r="G152" s="308">
        <f t="shared" si="29"/>
        <v>107</v>
      </c>
      <c r="H152" s="308"/>
      <c r="I152" s="437">
        <f t="shared" si="32"/>
        <v>0</v>
      </c>
      <c r="J152" s="437"/>
      <c r="K152" s="437"/>
      <c r="L152" s="437"/>
      <c r="M152" s="438"/>
      <c r="N152" s="312"/>
    </row>
    <row r="153" spans="1:14" ht="19.5" customHeight="1" thickBot="1" x14ac:dyDescent="0.25">
      <c r="A153" s="978"/>
      <c r="B153" s="1019"/>
      <c r="C153" s="1019"/>
      <c r="D153" s="973" t="s">
        <v>201</v>
      </c>
      <c r="E153" s="974"/>
      <c r="F153" s="275" t="s">
        <v>651</v>
      </c>
      <c r="G153" s="84">
        <f t="shared" si="29"/>
        <v>108</v>
      </c>
      <c r="H153" s="84"/>
      <c r="I153" s="435">
        <f t="shared" si="32"/>
        <v>0</v>
      </c>
      <c r="J153" s="435">
        <f>SUM(J154:J155)</f>
        <v>0</v>
      </c>
      <c r="K153" s="435">
        <f>SUM(K154:K155)</f>
        <v>0</v>
      </c>
      <c r="L153" s="435">
        <f>SUM(L154:L155)</f>
        <v>0</v>
      </c>
      <c r="M153" s="436">
        <f>SUM(M154:M155)</f>
        <v>0</v>
      </c>
      <c r="N153" s="250">
        <f>SUM(N154:N155)</f>
        <v>0</v>
      </c>
    </row>
    <row r="154" spans="1:14" ht="13.5" thickBot="1" x14ac:dyDescent="0.25">
      <c r="A154" s="978"/>
      <c r="B154" s="1019"/>
      <c r="C154" s="1019"/>
      <c r="D154" s="313"/>
      <c r="E154" s="310" t="s">
        <v>414</v>
      </c>
      <c r="F154" s="311"/>
      <c r="G154" s="308">
        <f t="shared" si="29"/>
        <v>109</v>
      </c>
      <c r="H154" s="308"/>
      <c r="I154" s="439">
        <f t="shared" si="32"/>
        <v>0</v>
      </c>
      <c r="J154" s="439"/>
      <c r="K154" s="439"/>
      <c r="L154" s="439"/>
      <c r="M154" s="440"/>
      <c r="N154" s="125"/>
    </row>
    <row r="155" spans="1:14" ht="13.5" thickBot="1" x14ac:dyDescent="0.25">
      <c r="A155" s="978"/>
      <c r="B155" s="1019"/>
      <c r="C155" s="1019"/>
      <c r="D155" s="313"/>
      <c r="E155" s="310" t="s">
        <v>415</v>
      </c>
      <c r="F155" s="311"/>
      <c r="G155" s="308">
        <f t="shared" si="29"/>
        <v>110</v>
      </c>
      <c r="H155" s="308"/>
      <c r="I155" s="439">
        <f t="shared" si="32"/>
        <v>0</v>
      </c>
      <c r="J155" s="439"/>
      <c r="K155" s="439"/>
      <c r="L155" s="439"/>
      <c r="M155" s="440"/>
      <c r="N155" s="125"/>
    </row>
    <row r="156" spans="1:14" ht="13.5" thickBot="1" x14ac:dyDescent="0.25">
      <c r="A156" s="978"/>
      <c r="B156" s="1019"/>
      <c r="C156" s="1020"/>
      <c r="D156" s="973" t="s">
        <v>202</v>
      </c>
      <c r="E156" s="974"/>
      <c r="F156" s="275" t="s">
        <v>652</v>
      </c>
      <c r="G156" s="84">
        <f t="shared" si="29"/>
        <v>111</v>
      </c>
      <c r="H156" s="84"/>
      <c r="I156" s="435">
        <f t="shared" ref="I156:I164" si="33">SUM(J156:M156)</f>
        <v>0</v>
      </c>
      <c r="J156" s="435"/>
      <c r="K156" s="435"/>
      <c r="L156" s="435"/>
      <c r="M156" s="436"/>
      <c r="N156" s="250"/>
    </row>
    <row r="157" spans="1:14" ht="13.5" thickBot="1" x14ac:dyDescent="0.25">
      <c r="A157" s="978"/>
      <c r="B157" s="1019"/>
      <c r="C157" s="71"/>
      <c r="D157" s="973" t="s">
        <v>203</v>
      </c>
      <c r="E157" s="974"/>
      <c r="F157" s="275"/>
      <c r="G157" s="84">
        <f t="shared" si="29"/>
        <v>112</v>
      </c>
      <c r="H157" s="84"/>
      <c r="I157" s="405">
        <f t="shared" si="33"/>
        <v>0</v>
      </c>
      <c r="J157" s="405">
        <v>0</v>
      </c>
      <c r="K157" s="405">
        <v>0</v>
      </c>
      <c r="L157" s="405">
        <v>0</v>
      </c>
      <c r="M157" s="419">
        <v>0</v>
      </c>
      <c r="N157" s="89">
        <v>0</v>
      </c>
    </row>
    <row r="158" spans="1:14" ht="21" customHeight="1" thickBot="1" x14ac:dyDescent="0.25">
      <c r="A158" s="978"/>
      <c r="B158" s="1019"/>
      <c r="C158" s="293" t="s">
        <v>68</v>
      </c>
      <c r="D158" s="986" t="s">
        <v>204</v>
      </c>
      <c r="E158" s="988"/>
      <c r="F158" s="276"/>
      <c r="G158" s="97">
        <f t="shared" si="29"/>
        <v>113</v>
      </c>
      <c r="H158" s="409">
        <f>SUM(H159:H161)</f>
        <v>0.22814000000000001</v>
      </c>
      <c r="I158" s="426">
        <f t="shared" si="33"/>
        <v>189047.07030000002</v>
      </c>
      <c r="J158" s="426">
        <f>SUM(J159:J164)</f>
        <v>39559.019720000004</v>
      </c>
      <c r="K158" s="426">
        <f>SUM(K159:K164)</f>
        <v>52251.360480000003</v>
      </c>
      <c r="L158" s="426">
        <f>SUM(L159:L164)</f>
        <v>48555.492480000001</v>
      </c>
      <c r="M158" s="427">
        <f>SUM(M159:M164)</f>
        <v>48681.197620000006</v>
      </c>
      <c r="N158" s="100">
        <f>SUM(N159:N164)</f>
        <v>0</v>
      </c>
    </row>
    <row r="159" spans="1:14" ht="13.5" thickBot="1" x14ac:dyDescent="0.25">
      <c r="A159" s="978"/>
      <c r="B159" s="1019"/>
      <c r="C159" s="314"/>
      <c r="D159" s="973" t="s">
        <v>205</v>
      </c>
      <c r="E159" s="974"/>
      <c r="F159" s="275">
        <v>645</v>
      </c>
      <c r="G159" s="84">
        <f t="shared" si="29"/>
        <v>114</v>
      </c>
      <c r="H159" s="410">
        <f>(15.8+0.214)%</f>
        <v>0.16014</v>
      </c>
      <c r="I159" s="430">
        <f t="shared" si="33"/>
        <v>132699.21030000001</v>
      </c>
      <c r="J159" s="405">
        <f>(J133+J143+J149)*$H$159</f>
        <v>27767.955720000002</v>
      </c>
      <c r="K159" s="405">
        <f>(K133+K143+K149)*$H$159</f>
        <v>36677.184480000004</v>
      </c>
      <c r="L159" s="405">
        <f>(L133+L143+L149)*$H$159</f>
        <v>34082.91648</v>
      </c>
      <c r="M159" s="405">
        <f>(M133+M143+M149)*$H$159</f>
        <v>34171.153620000005</v>
      </c>
      <c r="N159" s="89"/>
    </row>
    <row r="160" spans="1:14" ht="13.5" thickBot="1" x14ac:dyDescent="0.25">
      <c r="A160" s="978"/>
      <c r="B160" s="1019"/>
      <c r="C160" s="315"/>
      <c r="D160" s="973" t="s">
        <v>206</v>
      </c>
      <c r="E160" s="974"/>
      <c r="F160" s="275">
        <v>6452</v>
      </c>
      <c r="G160" s="84">
        <f t="shared" si="29"/>
        <v>115</v>
      </c>
      <c r="H160" s="410">
        <v>7.4999999999999997E-3</v>
      </c>
      <c r="I160" s="430">
        <f t="shared" si="33"/>
        <v>6214.8374999999996</v>
      </c>
      <c r="J160" s="405">
        <f>(J133+J143+J149)*$H$160</f>
        <v>1300.4849999999999</v>
      </c>
      <c r="K160" s="405">
        <f>(K133+K143+K149)*$H$160</f>
        <v>1717.74</v>
      </c>
      <c r="L160" s="405">
        <f>(L133+L143+L149)*$H$160</f>
        <v>1596.24</v>
      </c>
      <c r="M160" s="405">
        <f>(M133+M143+M149)*$H$160</f>
        <v>1600.3724999999999</v>
      </c>
      <c r="N160" s="89"/>
    </row>
    <row r="161" spans="1:14" ht="13.5" thickBot="1" x14ac:dyDescent="0.25">
      <c r="A161" s="978"/>
      <c r="B161" s="1019"/>
      <c r="C161" s="315"/>
      <c r="D161" s="973" t="s">
        <v>207</v>
      </c>
      <c r="E161" s="974"/>
      <c r="F161" s="275">
        <v>6453</v>
      </c>
      <c r="G161" s="84">
        <f t="shared" si="29"/>
        <v>116</v>
      </c>
      <c r="H161" s="410">
        <v>6.0499999999999998E-2</v>
      </c>
      <c r="I161" s="430">
        <f t="shared" si="33"/>
        <v>50133.022499999992</v>
      </c>
      <c r="J161" s="405">
        <f>(J133+J143+J149)*$H$161</f>
        <v>10490.579</v>
      </c>
      <c r="K161" s="405">
        <f>(K133+K143+K149)*$H$161</f>
        <v>13856.436</v>
      </c>
      <c r="L161" s="405">
        <f>(L133+L143+L149)*$H$161</f>
        <v>12876.335999999999</v>
      </c>
      <c r="M161" s="405">
        <f>(M133+M143+M149)*$H$161</f>
        <v>12909.6715</v>
      </c>
      <c r="N161" s="89"/>
    </row>
    <row r="162" spans="1:14" ht="21" customHeight="1" thickBot="1" x14ac:dyDescent="0.25">
      <c r="A162" s="978"/>
      <c r="B162" s="1019"/>
      <c r="C162" s="315"/>
      <c r="D162" s="973" t="s">
        <v>208</v>
      </c>
      <c r="E162" s="974"/>
      <c r="F162" s="275"/>
      <c r="G162" s="84">
        <f t="shared" si="29"/>
        <v>117</v>
      </c>
      <c r="H162" s="84"/>
      <c r="I162" s="430">
        <f t="shared" si="33"/>
        <v>0</v>
      </c>
      <c r="J162" s="405"/>
      <c r="K162" s="405"/>
      <c r="L162" s="405"/>
      <c r="M162" s="419"/>
      <c r="N162" s="89"/>
    </row>
    <row r="163" spans="1:14" ht="13.5" thickBot="1" x14ac:dyDescent="0.25">
      <c r="A163" s="978"/>
      <c r="B163" s="1019"/>
      <c r="C163" s="315"/>
      <c r="D163" s="973" t="s">
        <v>209</v>
      </c>
      <c r="E163" s="974"/>
      <c r="F163" s="275"/>
      <c r="G163" s="84">
        <f t="shared" si="29"/>
        <v>118</v>
      </c>
      <c r="H163" s="84"/>
      <c r="I163" s="430">
        <f t="shared" si="33"/>
        <v>0</v>
      </c>
      <c r="J163" s="405"/>
      <c r="K163" s="405"/>
      <c r="L163" s="405"/>
      <c r="M163" s="419"/>
      <c r="N163" s="89"/>
    </row>
    <row r="164" spans="1:14" ht="13.5" thickBot="1" x14ac:dyDescent="0.25">
      <c r="A164" s="978"/>
      <c r="B164" s="1019"/>
      <c r="C164" s="298"/>
      <c r="D164" s="973" t="s">
        <v>210</v>
      </c>
      <c r="E164" s="974"/>
      <c r="F164" s="275"/>
      <c r="G164" s="84">
        <f t="shared" si="29"/>
        <v>119</v>
      </c>
      <c r="H164" s="84"/>
      <c r="I164" s="430">
        <f t="shared" si="33"/>
        <v>0</v>
      </c>
      <c r="J164" s="405"/>
      <c r="K164" s="405"/>
      <c r="L164" s="405"/>
      <c r="M164" s="419"/>
      <c r="N164" s="89"/>
    </row>
    <row r="165" spans="1:14" ht="22.5" customHeight="1" thickBot="1" x14ac:dyDescent="0.25">
      <c r="A165" s="978"/>
      <c r="B165" s="1019"/>
      <c r="C165" s="986" t="s">
        <v>469</v>
      </c>
      <c r="D165" s="987"/>
      <c r="E165" s="988"/>
      <c r="F165" s="276"/>
      <c r="G165" s="97">
        <f t="shared" si="29"/>
        <v>120</v>
      </c>
      <c r="H165" s="97"/>
      <c r="I165" s="426">
        <f t="shared" ref="I165:N165" si="34">I166+I169+I170+I171+I172+I173</f>
        <v>143000</v>
      </c>
      <c r="J165" s="426">
        <f t="shared" si="34"/>
        <v>25000</v>
      </c>
      <c r="K165" s="426">
        <f t="shared" si="34"/>
        <v>23000</v>
      </c>
      <c r="L165" s="426">
        <f t="shared" si="34"/>
        <v>22000</v>
      </c>
      <c r="M165" s="427">
        <f t="shared" si="34"/>
        <v>73000</v>
      </c>
      <c r="N165" s="100">
        <f t="shared" si="34"/>
        <v>0</v>
      </c>
    </row>
    <row r="166" spans="1:14" ht="13.5" thickBot="1" x14ac:dyDescent="0.25">
      <c r="A166" s="978"/>
      <c r="B166" s="1019"/>
      <c r="C166" s="71" t="s">
        <v>27</v>
      </c>
      <c r="D166" s="973" t="s">
        <v>470</v>
      </c>
      <c r="E166" s="974"/>
      <c r="F166" s="275"/>
      <c r="G166" s="84">
        <f t="shared" si="29"/>
        <v>121</v>
      </c>
      <c r="H166" s="84"/>
      <c r="I166" s="405">
        <f t="shared" ref="I166:N166" si="35">SUM(I167:I168)</f>
        <v>36000</v>
      </c>
      <c r="J166" s="405">
        <f t="shared" si="35"/>
        <v>10000</v>
      </c>
      <c r="K166" s="405">
        <f t="shared" si="35"/>
        <v>8000</v>
      </c>
      <c r="L166" s="405">
        <f t="shared" si="35"/>
        <v>8000</v>
      </c>
      <c r="M166" s="419">
        <f t="shared" si="35"/>
        <v>10000</v>
      </c>
      <c r="N166" s="89">
        <f t="shared" si="35"/>
        <v>0</v>
      </c>
    </row>
    <row r="167" spans="1:14" ht="13.5" thickBot="1" x14ac:dyDescent="0.25">
      <c r="A167" s="978"/>
      <c r="B167" s="1019"/>
      <c r="C167" s="71"/>
      <c r="D167" s="973" t="s">
        <v>211</v>
      </c>
      <c r="E167" s="974"/>
      <c r="F167" s="275">
        <v>6581</v>
      </c>
      <c r="G167" s="84">
        <f t="shared" si="29"/>
        <v>122</v>
      </c>
      <c r="H167" s="84"/>
      <c r="I167" s="405">
        <f t="shared" ref="I167:I172" si="36">SUM(J167:M167)</f>
        <v>0</v>
      </c>
      <c r="J167" s="405"/>
      <c r="K167" s="405"/>
      <c r="L167" s="405"/>
      <c r="M167" s="419"/>
      <c r="N167" s="89"/>
    </row>
    <row r="168" spans="1:14" ht="13.5" thickBot="1" x14ac:dyDescent="0.25">
      <c r="A168" s="978"/>
      <c r="B168" s="1019"/>
      <c r="C168" s="71"/>
      <c r="D168" s="973" t="s">
        <v>212</v>
      </c>
      <c r="E168" s="974"/>
      <c r="F168" s="275" t="s">
        <v>653</v>
      </c>
      <c r="G168" s="84">
        <f t="shared" si="29"/>
        <v>123</v>
      </c>
      <c r="H168" s="84"/>
      <c r="I168" s="405">
        <f t="shared" si="36"/>
        <v>36000</v>
      </c>
      <c r="J168" s="405">
        <v>10000</v>
      </c>
      <c r="K168" s="405">
        <v>8000</v>
      </c>
      <c r="L168" s="405">
        <v>8000</v>
      </c>
      <c r="M168" s="419">
        <v>10000</v>
      </c>
      <c r="N168" s="89"/>
    </row>
    <row r="169" spans="1:14" ht="13.5" thickBot="1" x14ac:dyDescent="0.25">
      <c r="A169" s="979"/>
      <c r="B169" s="1020"/>
      <c r="C169" s="71" t="s">
        <v>38</v>
      </c>
      <c r="D169" s="973" t="s">
        <v>213</v>
      </c>
      <c r="E169" s="974"/>
      <c r="F169" s="275">
        <v>653</v>
      </c>
      <c r="G169" s="84">
        <f t="shared" si="29"/>
        <v>124</v>
      </c>
      <c r="H169" s="84"/>
      <c r="I169" s="405">
        <f t="shared" si="36"/>
        <v>0</v>
      </c>
      <c r="J169" s="405"/>
      <c r="K169" s="405"/>
      <c r="L169" s="405"/>
      <c r="M169" s="419"/>
      <c r="N169" s="89"/>
    </row>
    <row r="170" spans="1:14" ht="13.5" thickBot="1" x14ac:dyDescent="0.25">
      <c r="A170" s="977"/>
      <c r="B170" s="1018"/>
      <c r="C170" s="71" t="s">
        <v>40</v>
      </c>
      <c r="D170" s="973" t="s">
        <v>287</v>
      </c>
      <c r="E170" s="974"/>
      <c r="F170" s="275"/>
      <c r="G170" s="84">
        <f t="shared" si="29"/>
        <v>125</v>
      </c>
      <c r="H170" s="84"/>
      <c r="I170" s="405">
        <f t="shared" si="36"/>
        <v>0</v>
      </c>
      <c r="J170" s="405"/>
      <c r="K170" s="405"/>
      <c r="L170" s="405"/>
      <c r="M170" s="419"/>
      <c r="N170" s="89"/>
    </row>
    <row r="171" spans="1:14" ht="13.5" thickBot="1" x14ac:dyDescent="0.25">
      <c r="A171" s="978"/>
      <c r="B171" s="1019"/>
      <c r="C171" s="71" t="s">
        <v>42</v>
      </c>
      <c r="D171" s="973" t="s">
        <v>149</v>
      </c>
      <c r="E171" s="974"/>
      <c r="F171" s="275">
        <v>658</v>
      </c>
      <c r="G171" s="84">
        <f t="shared" si="29"/>
        <v>126</v>
      </c>
      <c r="H171" s="84"/>
      <c r="I171" s="405">
        <f t="shared" si="36"/>
        <v>0</v>
      </c>
      <c r="J171" s="405"/>
      <c r="K171" s="405"/>
      <c r="L171" s="405"/>
      <c r="M171" s="419"/>
      <c r="N171" s="89"/>
    </row>
    <row r="172" spans="1:14" ht="13.5" thickBot="1" x14ac:dyDescent="0.25">
      <c r="A172" s="978"/>
      <c r="B172" s="1019"/>
      <c r="C172" s="71" t="s">
        <v>28</v>
      </c>
      <c r="D172" s="973" t="s">
        <v>288</v>
      </c>
      <c r="E172" s="974"/>
      <c r="F172" s="275">
        <v>681</v>
      </c>
      <c r="G172" s="84">
        <f t="shared" si="29"/>
        <v>127</v>
      </c>
      <c r="H172" s="84"/>
      <c r="I172" s="405">
        <f t="shared" si="36"/>
        <v>96000</v>
      </c>
      <c r="J172" s="405">
        <v>24000</v>
      </c>
      <c r="K172" s="405">
        <v>24000</v>
      </c>
      <c r="L172" s="405">
        <v>24000</v>
      </c>
      <c r="M172" s="419">
        <v>24000</v>
      </c>
      <c r="N172" s="89"/>
    </row>
    <row r="173" spans="1:14" ht="23.25" customHeight="1" thickBot="1" x14ac:dyDescent="0.25">
      <c r="A173" s="978"/>
      <c r="B173" s="1020"/>
      <c r="C173" s="71" t="s">
        <v>34</v>
      </c>
      <c r="D173" s="973" t="s">
        <v>345</v>
      </c>
      <c r="E173" s="974"/>
      <c r="F173" s="275"/>
      <c r="G173" s="84">
        <f t="shared" si="29"/>
        <v>128</v>
      </c>
      <c r="H173" s="84"/>
      <c r="I173" s="405">
        <f t="shared" ref="I173:N173" si="37">I174-I177</f>
        <v>11000</v>
      </c>
      <c r="J173" s="405">
        <f t="shared" si="37"/>
        <v>-9000</v>
      </c>
      <c r="K173" s="405">
        <f t="shared" si="37"/>
        <v>-9000</v>
      </c>
      <c r="L173" s="405">
        <f t="shared" si="37"/>
        <v>-10000</v>
      </c>
      <c r="M173" s="419">
        <f t="shared" si="37"/>
        <v>39000</v>
      </c>
      <c r="N173" s="89">
        <f t="shared" si="37"/>
        <v>0</v>
      </c>
    </row>
    <row r="174" spans="1:14" ht="13.5" thickBot="1" x14ac:dyDescent="0.25">
      <c r="A174" s="978"/>
      <c r="B174" s="71"/>
      <c r="C174" s="71"/>
      <c r="D174" s="71" t="s">
        <v>51</v>
      </c>
      <c r="E174" s="71" t="s">
        <v>460</v>
      </c>
      <c r="F174" s="86">
        <v>6814</v>
      </c>
      <c r="G174" s="84">
        <f t="shared" si="29"/>
        <v>129</v>
      </c>
      <c r="H174" s="84"/>
      <c r="I174" s="405">
        <f>SUM(J174:M174)</f>
        <v>50000</v>
      </c>
      <c r="J174" s="405"/>
      <c r="K174" s="405"/>
      <c r="L174" s="405"/>
      <c r="M174" s="419">
        <v>50000</v>
      </c>
      <c r="N174" s="89"/>
    </row>
    <row r="175" spans="1:14" ht="13.5" thickBot="1" x14ac:dyDescent="0.25">
      <c r="A175" s="978"/>
      <c r="B175" s="71"/>
      <c r="C175" s="71"/>
      <c r="D175" s="306" t="s">
        <v>416</v>
      </c>
      <c r="E175" s="310" t="s">
        <v>417</v>
      </c>
      <c r="F175" s="311" t="s">
        <v>654</v>
      </c>
      <c r="G175" s="84">
        <f t="shared" si="29"/>
        <v>130</v>
      </c>
      <c r="H175" s="84"/>
      <c r="I175" s="405">
        <f>SUM(J175:M175)</f>
        <v>0</v>
      </c>
      <c r="J175" s="405"/>
      <c r="K175" s="405"/>
      <c r="L175" s="405"/>
      <c r="M175" s="419"/>
      <c r="N175" s="89"/>
    </row>
    <row r="176" spans="1:14" ht="13.5" thickBot="1" x14ac:dyDescent="0.25">
      <c r="A176" s="978"/>
      <c r="B176" s="71"/>
      <c r="C176" s="71"/>
      <c r="D176" s="306" t="s">
        <v>418</v>
      </c>
      <c r="E176" s="316" t="s">
        <v>419</v>
      </c>
      <c r="F176" s="317"/>
      <c r="G176" s="121" t="s">
        <v>420</v>
      </c>
      <c r="H176" s="408"/>
      <c r="I176" s="405"/>
      <c r="J176" s="405"/>
      <c r="K176" s="405"/>
      <c r="L176" s="405"/>
      <c r="M176" s="419"/>
      <c r="N176" s="89"/>
    </row>
    <row r="177" spans="1:14" ht="23.25" thickBot="1" x14ac:dyDescent="0.25">
      <c r="A177" s="978"/>
      <c r="B177" s="71"/>
      <c r="C177" s="71"/>
      <c r="D177" s="318" t="s">
        <v>52</v>
      </c>
      <c r="E177" s="71" t="s">
        <v>346</v>
      </c>
      <c r="F177" s="86">
        <v>781</v>
      </c>
      <c r="G177" s="84">
        <v>131</v>
      </c>
      <c r="H177" s="84"/>
      <c r="I177" s="405">
        <f t="shared" ref="I177:N177" si="38">I178</f>
        <v>39000</v>
      </c>
      <c r="J177" s="405">
        <f t="shared" si="38"/>
        <v>9000</v>
      </c>
      <c r="K177" s="405">
        <f t="shared" si="38"/>
        <v>9000</v>
      </c>
      <c r="L177" s="405">
        <f t="shared" si="38"/>
        <v>10000</v>
      </c>
      <c r="M177" s="419">
        <f t="shared" si="38"/>
        <v>11000</v>
      </c>
      <c r="N177" s="89">
        <f t="shared" si="38"/>
        <v>0</v>
      </c>
    </row>
    <row r="178" spans="1:14" ht="13.5" thickBot="1" x14ac:dyDescent="0.25">
      <c r="A178" s="978"/>
      <c r="B178" s="71"/>
      <c r="C178" s="71"/>
      <c r="D178" s="318" t="s">
        <v>65</v>
      </c>
      <c r="E178" s="71" t="s">
        <v>459</v>
      </c>
      <c r="F178" s="86">
        <v>7814</v>
      </c>
      <c r="G178" s="84">
        <f t="shared" ref="G178:G194" si="39">G177+1</f>
        <v>132</v>
      </c>
      <c r="H178" s="84"/>
      <c r="I178" s="405">
        <f t="shared" ref="I178:N178" si="40">I179+I180+I181</f>
        <v>39000</v>
      </c>
      <c r="J178" s="405">
        <v>9000</v>
      </c>
      <c r="K178" s="405">
        <v>9000</v>
      </c>
      <c r="L178" s="405">
        <v>10000</v>
      </c>
      <c r="M178" s="419">
        <v>11000</v>
      </c>
      <c r="N178" s="89">
        <f t="shared" si="40"/>
        <v>0</v>
      </c>
    </row>
    <row r="179" spans="1:14" ht="13.5" thickBot="1" x14ac:dyDescent="0.25">
      <c r="A179" s="978"/>
      <c r="B179" s="71"/>
      <c r="C179" s="71"/>
      <c r="D179" s="71"/>
      <c r="E179" s="71" t="s">
        <v>426</v>
      </c>
      <c r="F179" s="86">
        <v>7812</v>
      </c>
      <c r="G179" s="84">
        <f t="shared" si="39"/>
        <v>133</v>
      </c>
      <c r="H179" s="84"/>
      <c r="I179" s="405">
        <f>SUM(J179:M179)</f>
        <v>0</v>
      </c>
      <c r="J179" s="405"/>
      <c r="K179" s="405"/>
      <c r="L179" s="405"/>
      <c r="M179" s="419"/>
      <c r="N179" s="89"/>
    </row>
    <row r="180" spans="1:14" ht="13.5" thickBot="1" x14ac:dyDescent="0.25">
      <c r="A180" s="978"/>
      <c r="B180" s="71"/>
      <c r="C180" s="71"/>
      <c r="D180" s="71"/>
      <c r="E180" s="71" t="s">
        <v>347</v>
      </c>
      <c r="F180" s="86"/>
      <c r="G180" s="84">
        <f t="shared" si="39"/>
        <v>134</v>
      </c>
      <c r="H180" s="84"/>
      <c r="I180" s="405">
        <f>SUM(J180:M180)</f>
        <v>0</v>
      </c>
      <c r="J180" s="405"/>
      <c r="K180" s="405"/>
      <c r="L180" s="405"/>
      <c r="M180" s="419"/>
      <c r="N180" s="89"/>
    </row>
    <row r="181" spans="1:14" ht="13.5" thickBot="1" x14ac:dyDescent="0.25">
      <c r="A181" s="978"/>
      <c r="B181" s="71"/>
      <c r="C181" s="71"/>
      <c r="D181" s="71"/>
      <c r="E181" s="71" t="s">
        <v>348</v>
      </c>
      <c r="F181" s="86"/>
      <c r="G181" s="84">
        <f t="shared" si="39"/>
        <v>135</v>
      </c>
      <c r="H181" s="84"/>
      <c r="I181" s="405">
        <f>SUM(J181:M181)</f>
        <v>39000</v>
      </c>
      <c r="J181" s="405">
        <v>9000</v>
      </c>
      <c r="K181" s="405">
        <v>9000</v>
      </c>
      <c r="L181" s="405">
        <v>10000</v>
      </c>
      <c r="M181" s="419">
        <v>11000</v>
      </c>
      <c r="N181" s="89"/>
    </row>
    <row r="182" spans="1:14" ht="21.75" customHeight="1" thickBot="1" x14ac:dyDescent="0.25">
      <c r="A182" s="978"/>
      <c r="B182" s="282" t="s">
        <v>21</v>
      </c>
      <c r="C182" s="282"/>
      <c r="D182" s="1023" t="s">
        <v>471</v>
      </c>
      <c r="E182" s="1025"/>
      <c r="F182" s="292"/>
      <c r="G182" s="284">
        <f t="shared" si="39"/>
        <v>136</v>
      </c>
      <c r="H182" s="284"/>
      <c r="I182" s="415">
        <f>I183+I186+I189</f>
        <v>0</v>
      </c>
      <c r="J182" s="415">
        <f>J183+J187+J189</f>
        <v>0</v>
      </c>
      <c r="K182" s="415">
        <f>K183+K187+K189</f>
        <v>0</v>
      </c>
      <c r="L182" s="415">
        <f>L183+L187+L189</f>
        <v>0</v>
      </c>
      <c r="M182" s="416">
        <f>M183+M187+M189</f>
        <v>0</v>
      </c>
      <c r="N182" s="88">
        <f>N183+N187+N189</f>
        <v>0</v>
      </c>
    </row>
    <row r="183" spans="1:14" ht="13.5" thickBot="1" x14ac:dyDescent="0.25">
      <c r="A183" s="978"/>
      <c r="B183" s="1018"/>
      <c r="C183" s="71" t="s">
        <v>27</v>
      </c>
      <c r="D183" s="973" t="s">
        <v>461</v>
      </c>
      <c r="E183" s="974"/>
      <c r="F183" s="275"/>
      <c r="G183" s="84">
        <f t="shared" si="39"/>
        <v>137</v>
      </c>
      <c r="H183" s="84"/>
      <c r="I183" s="405">
        <f t="shared" ref="I183:N183" si="41">I184+I185</f>
        <v>0</v>
      </c>
      <c r="J183" s="405">
        <f t="shared" si="41"/>
        <v>0</v>
      </c>
      <c r="K183" s="405">
        <f t="shared" si="41"/>
        <v>0</v>
      </c>
      <c r="L183" s="405">
        <f t="shared" si="41"/>
        <v>0</v>
      </c>
      <c r="M183" s="419">
        <f t="shared" si="41"/>
        <v>0</v>
      </c>
      <c r="N183" s="89">
        <f t="shared" si="41"/>
        <v>0</v>
      </c>
    </row>
    <row r="184" spans="1:14" ht="13.5" thickBot="1" x14ac:dyDescent="0.25">
      <c r="A184" s="978"/>
      <c r="B184" s="1019"/>
      <c r="C184" s="71"/>
      <c r="D184" s="71" t="s">
        <v>237</v>
      </c>
      <c r="E184" s="71" t="s">
        <v>294</v>
      </c>
      <c r="F184" s="86">
        <v>666</v>
      </c>
      <c r="G184" s="84">
        <f t="shared" si="39"/>
        <v>138</v>
      </c>
      <c r="H184" s="84"/>
      <c r="I184" s="405">
        <f>SUM(J184:M184)</f>
        <v>0</v>
      </c>
      <c r="J184" s="405"/>
      <c r="K184" s="405"/>
      <c r="L184" s="405"/>
      <c r="M184" s="419"/>
      <c r="N184" s="89"/>
    </row>
    <row r="185" spans="1:14" ht="13.5" thickBot="1" x14ac:dyDescent="0.25">
      <c r="A185" s="978"/>
      <c r="B185" s="1019"/>
      <c r="C185" s="71"/>
      <c r="D185" s="71" t="s">
        <v>66</v>
      </c>
      <c r="E185" s="71" t="s">
        <v>349</v>
      </c>
      <c r="F185" s="86"/>
      <c r="G185" s="84">
        <f t="shared" si="39"/>
        <v>139</v>
      </c>
      <c r="H185" s="84"/>
      <c r="I185" s="405">
        <f>SUM(J185:M185)</f>
        <v>0</v>
      </c>
      <c r="J185" s="441"/>
      <c r="K185" s="441"/>
      <c r="L185" s="441"/>
      <c r="M185" s="442"/>
      <c r="N185" s="112"/>
    </row>
    <row r="186" spans="1:14" ht="21" customHeight="1" thickBot="1" x14ac:dyDescent="0.25">
      <c r="A186" s="978"/>
      <c r="B186" s="1019"/>
      <c r="C186" s="71" t="s">
        <v>38</v>
      </c>
      <c r="D186" s="973" t="s">
        <v>440</v>
      </c>
      <c r="E186" s="974"/>
      <c r="F186" s="275"/>
      <c r="G186" s="84">
        <f t="shared" si="39"/>
        <v>140</v>
      </c>
      <c r="H186" s="399"/>
      <c r="I186" s="419">
        <f>I187+I188</f>
        <v>0</v>
      </c>
      <c r="J186" s="443">
        <f>SUM(J187:J188)</f>
        <v>0</v>
      </c>
      <c r="K186" s="443">
        <f>SUM(K187:K188)</f>
        <v>0</v>
      </c>
      <c r="L186" s="443">
        <f>SUM(L187:L188)</f>
        <v>0</v>
      </c>
      <c r="M186" s="444">
        <f>SUM(M187:M188)</f>
        <v>0</v>
      </c>
      <c r="N186" s="380">
        <f>SUM(N187:N188)</f>
        <v>0</v>
      </c>
    </row>
    <row r="187" spans="1:14" ht="13.5" thickBot="1" x14ac:dyDescent="0.25">
      <c r="A187" s="978"/>
      <c r="B187" s="1019"/>
      <c r="C187" s="71"/>
      <c r="D187" s="71" t="s">
        <v>76</v>
      </c>
      <c r="E187" s="71" t="s">
        <v>294</v>
      </c>
      <c r="F187" s="86">
        <v>665</v>
      </c>
      <c r="G187" s="84">
        <f t="shared" si="39"/>
        <v>141</v>
      </c>
      <c r="H187" s="84"/>
      <c r="I187" s="405">
        <f>SUM(J187:M187)</f>
        <v>0</v>
      </c>
      <c r="J187" s="445"/>
      <c r="K187" s="445"/>
      <c r="L187" s="445"/>
      <c r="M187" s="446"/>
      <c r="N187" s="115"/>
    </row>
    <row r="188" spans="1:14" ht="13.5" thickBot="1" x14ac:dyDescent="0.25">
      <c r="A188" s="978"/>
      <c r="B188" s="1019"/>
      <c r="C188" s="71"/>
      <c r="D188" s="71" t="s">
        <v>99</v>
      </c>
      <c r="E188" s="71" t="s">
        <v>295</v>
      </c>
      <c r="F188" s="86"/>
      <c r="G188" s="84">
        <f t="shared" si="39"/>
        <v>142</v>
      </c>
      <c r="H188" s="84"/>
      <c r="I188" s="405">
        <f>SUM(J188:M188)</f>
        <v>0</v>
      </c>
      <c r="J188" s="405"/>
      <c r="K188" s="405"/>
      <c r="L188" s="405"/>
      <c r="M188" s="419"/>
      <c r="N188" s="89"/>
    </row>
    <row r="189" spans="1:14" ht="13.5" thickBot="1" x14ac:dyDescent="0.25">
      <c r="A189" s="978"/>
      <c r="B189" s="1020"/>
      <c r="C189" s="71" t="s">
        <v>40</v>
      </c>
      <c r="D189" s="973" t="s">
        <v>296</v>
      </c>
      <c r="E189" s="974"/>
      <c r="F189" s="275">
        <v>668</v>
      </c>
      <c r="G189" s="84">
        <f t="shared" si="39"/>
        <v>143</v>
      </c>
      <c r="H189" s="84"/>
      <c r="I189" s="405">
        <f>SUM(J189:M189)</f>
        <v>0</v>
      </c>
      <c r="J189" s="405"/>
      <c r="K189" s="405"/>
      <c r="L189" s="405"/>
      <c r="M189" s="419"/>
      <c r="N189" s="89"/>
    </row>
    <row r="190" spans="1:14" ht="13.5" thickBot="1" x14ac:dyDescent="0.25">
      <c r="A190" s="979"/>
      <c r="B190" s="71" t="s">
        <v>17</v>
      </c>
      <c r="C190" s="319"/>
      <c r="D190" s="1041" t="s">
        <v>129</v>
      </c>
      <c r="E190" s="1042"/>
      <c r="F190" s="320"/>
      <c r="G190" s="84">
        <f t="shared" si="39"/>
        <v>144</v>
      </c>
      <c r="H190" s="84"/>
      <c r="I190" s="405">
        <f>SUM(J190:M190)</f>
        <v>0</v>
      </c>
      <c r="J190" s="447"/>
      <c r="K190" s="447"/>
      <c r="L190" s="447"/>
      <c r="M190" s="448"/>
      <c r="N190" s="117"/>
    </row>
    <row r="191" spans="1:14" ht="13.5" thickBot="1" x14ac:dyDescent="0.25">
      <c r="A191" s="87" t="s">
        <v>130</v>
      </c>
      <c r="B191" s="321"/>
      <c r="C191" s="321"/>
      <c r="D191" s="1023" t="s">
        <v>441</v>
      </c>
      <c r="E191" s="1025"/>
      <c r="F191" s="292"/>
      <c r="G191" s="284">
        <f t="shared" si="39"/>
        <v>145</v>
      </c>
      <c r="H191" s="284"/>
      <c r="I191" s="415">
        <f t="shared" ref="I191:N191" si="42">I10-I41</f>
        <v>123288.92970000021</v>
      </c>
      <c r="J191" s="415">
        <f t="shared" si="42"/>
        <v>48442.980280000018</v>
      </c>
      <c r="K191" s="415">
        <f t="shared" si="42"/>
        <v>7904.6395199999679</v>
      </c>
      <c r="L191" s="415">
        <f t="shared" si="42"/>
        <v>52189.507519999985</v>
      </c>
      <c r="M191" s="416">
        <f t="shared" si="42"/>
        <v>14751.802380000008</v>
      </c>
      <c r="N191" s="88">
        <f t="shared" si="42"/>
        <v>0</v>
      </c>
    </row>
    <row r="192" spans="1:14" ht="13.5" thickBot="1" x14ac:dyDescent="0.25">
      <c r="A192" s="87"/>
      <c r="B192" s="321"/>
      <c r="C192" s="321"/>
      <c r="D192" s="322"/>
      <c r="E192" s="322" t="s">
        <v>421</v>
      </c>
      <c r="F192" s="323"/>
      <c r="G192" s="121">
        <v>146</v>
      </c>
      <c r="H192" s="408"/>
      <c r="I192" s="449">
        <f>SUM(J192:M192)</f>
        <v>39000</v>
      </c>
      <c r="J192" s="449">
        <f t="shared" ref="J192:N192" si="43">J177</f>
        <v>9000</v>
      </c>
      <c r="K192" s="449">
        <f t="shared" si="43"/>
        <v>9000</v>
      </c>
      <c r="L192" s="449">
        <f t="shared" si="43"/>
        <v>10000</v>
      </c>
      <c r="M192" s="450">
        <f t="shared" si="43"/>
        <v>11000</v>
      </c>
      <c r="N192" s="324">
        <f t="shared" si="43"/>
        <v>0</v>
      </c>
    </row>
    <row r="193" spans="1:14" ht="13.5" thickBot="1" x14ac:dyDescent="0.25">
      <c r="A193" s="84"/>
      <c r="B193" s="71"/>
      <c r="C193" s="71"/>
      <c r="D193" s="322"/>
      <c r="E193" s="322" t="s">
        <v>297</v>
      </c>
      <c r="F193" s="323"/>
      <c r="G193" s="121">
        <v>147</v>
      </c>
      <c r="H193" s="408"/>
      <c r="I193" s="449">
        <f t="shared" ref="I193:I194" si="44">SUM(J193:M193)</f>
        <v>50000</v>
      </c>
      <c r="J193" s="432">
        <f t="shared" ref="J193:M193" si="45">J174</f>
        <v>0</v>
      </c>
      <c r="K193" s="432">
        <f t="shared" si="45"/>
        <v>0</v>
      </c>
      <c r="L193" s="432">
        <f t="shared" si="45"/>
        <v>0</v>
      </c>
      <c r="M193" s="432">
        <f t="shared" si="45"/>
        <v>50000</v>
      </c>
      <c r="N193" s="242">
        <f>N173</f>
        <v>0</v>
      </c>
    </row>
    <row r="194" spans="1:14" ht="13.5" thickBot="1" x14ac:dyDescent="0.25">
      <c r="A194" s="87" t="s">
        <v>132</v>
      </c>
      <c r="B194" s="321"/>
      <c r="C194" s="321"/>
      <c r="D194" s="1023" t="s">
        <v>133</v>
      </c>
      <c r="E194" s="1025"/>
      <c r="F194" s="292"/>
      <c r="G194" s="284">
        <f t="shared" si="39"/>
        <v>148</v>
      </c>
      <c r="H194" s="284"/>
      <c r="I194" s="449">
        <f t="shared" si="44"/>
        <v>27726.228751999995</v>
      </c>
      <c r="J194" s="415">
        <f>(J191+J193)*16%</f>
        <v>7750.8768448000028</v>
      </c>
      <c r="K194" s="415">
        <f>(K191+K193)*16%</f>
        <v>1264.7423231999949</v>
      </c>
      <c r="L194" s="415">
        <f>(L191+L193)*16%</f>
        <v>8350.3212031999974</v>
      </c>
      <c r="M194" s="416">
        <f>(M191+M193)*16%</f>
        <v>10360.288380800002</v>
      </c>
      <c r="N194" s="88">
        <f>(N191+N193)*16%</f>
        <v>0</v>
      </c>
    </row>
    <row r="195" spans="1:14" x14ac:dyDescent="0.2">
      <c r="A195" s="326" t="s">
        <v>134</v>
      </c>
      <c r="B195" s="330"/>
      <c r="C195" s="331"/>
      <c r="D195" s="1043" t="s">
        <v>422</v>
      </c>
      <c r="E195" s="1044"/>
      <c r="F195" s="338"/>
      <c r="G195" s="339">
        <v>149</v>
      </c>
      <c r="H195" s="339"/>
      <c r="I195" s="451"/>
      <c r="J195" s="451"/>
      <c r="K195" s="451"/>
      <c r="L195" s="451"/>
      <c r="M195" s="452"/>
      <c r="N195" s="381"/>
    </row>
    <row r="196" spans="1:14" x14ac:dyDescent="0.2">
      <c r="A196" s="327" t="s">
        <v>141</v>
      </c>
      <c r="B196" s="332"/>
      <c r="C196" s="333"/>
      <c r="D196" s="1035" t="s">
        <v>423</v>
      </c>
      <c r="E196" s="1036"/>
      <c r="F196" s="325"/>
      <c r="G196" s="121">
        <v>150</v>
      </c>
      <c r="H196" s="121"/>
      <c r="I196" s="453"/>
      <c r="J196" s="453"/>
      <c r="K196" s="453"/>
      <c r="L196" s="453"/>
      <c r="M196" s="454"/>
      <c r="N196" s="382"/>
    </row>
    <row r="197" spans="1:14" x14ac:dyDescent="0.2">
      <c r="A197" s="328" t="s">
        <v>143</v>
      </c>
      <c r="B197" s="334"/>
      <c r="C197" s="335"/>
      <c r="D197" s="1037" t="s">
        <v>424</v>
      </c>
      <c r="E197" s="1038"/>
      <c r="F197" s="280"/>
      <c r="G197" s="251">
        <v>151</v>
      </c>
      <c r="H197" s="251"/>
      <c r="I197" s="455"/>
      <c r="J197" s="455"/>
      <c r="K197" s="455"/>
      <c r="L197" s="455"/>
      <c r="M197" s="456"/>
      <c r="N197" s="383"/>
    </row>
    <row r="198" spans="1:14" ht="22.5" customHeight="1" thickBot="1" x14ac:dyDescent="0.25">
      <c r="A198" s="329" t="s">
        <v>150</v>
      </c>
      <c r="B198" s="336"/>
      <c r="C198" s="337"/>
      <c r="D198" s="1039" t="s">
        <v>425</v>
      </c>
      <c r="E198" s="1040"/>
      <c r="F198" s="341"/>
      <c r="G198" s="342">
        <v>152</v>
      </c>
      <c r="H198" s="342"/>
      <c r="I198" s="457"/>
      <c r="J198" s="457"/>
      <c r="K198" s="457"/>
      <c r="L198" s="457"/>
      <c r="M198" s="458"/>
      <c r="N198" s="384"/>
    </row>
  </sheetData>
  <mergeCells count="122">
    <mergeCell ref="D196:E196"/>
    <mergeCell ref="D197:E197"/>
    <mergeCell ref="D198:E198"/>
    <mergeCell ref="D186:E186"/>
    <mergeCell ref="D189:E189"/>
    <mergeCell ref="D190:E190"/>
    <mergeCell ref="D191:E191"/>
    <mergeCell ref="D194:E194"/>
    <mergeCell ref="D195:E195"/>
    <mergeCell ref="D169:E169"/>
    <mergeCell ref="A170:A190"/>
    <mergeCell ref="B170:B173"/>
    <mergeCell ref="D170:E170"/>
    <mergeCell ref="D171:E171"/>
    <mergeCell ref="D172:E172"/>
    <mergeCell ref="D173:E173"/>
    <mergeCell ref="D182:E182"/>
    <mergeCell ref="B183:B189"/>
    <mergeCell ref="D183:E183"/>
    <mergeCell ref="A120:A169"/>
    <mergeCell ref="B120:B169"/>
    <mergeCell ref="D163:E163"/>
    <mergeCell ref="D164:E164"/>
    <mergeCell ref="C165:E165"/>
    <mergeCell ref="D166:E166"/>
    <mergeCell ref="D167:E167"/>
    <mergeCell ref="D168:E168"/>
    <mergeCell ref="D157:E157"/>
    <mergeCell ref="D158:E158"/>
    <mergeCell ref="D159:E159"/>
    <mergeCell ref="D160:E160"/>
    <mergeCell ref="D161:E161"/>
    <mergeCell ref="D162:E162"/>
    <mergeCell ref="D147:E147"/>
    <mergeCell ref="D148:E148"/>
    <mergeCell ref="D149:E149"/>
    <mergeCell ref="C150:C156"/>
    <mergeCell ref="D150:E150"/>
    <mergeCell ref="D153:E153"/>
    <mergeCell ref="D156:E156"/>
    <mergeCell ref="D141:E141"/>
    <mergeCell ref="D142:E142"/>
    <mergeCell ref="D143:E143"/>
    <mergeCell ref="D144:E144"/>
    <mergeCell ref="D145:E145"/>
    <mergeCell ref="D146:E146"/>
    <mergeCell ref="C134:C136"/>
    <mergeCell ref="D134:E134"/>
    <mergeCell ref="D135:E135"/>
    <mergeCell ref="D136:E136"/>
    <mergeCell ref="D137:E137"/>
    <mergeCell ref="D138:E138"/>
    <mergeCell ref="D117:E117"/>
    <mergeCell ref="D118:E118"/>
    <mergeCell ref="D119:E119"/>
    <mergeCell ref="D120:E120"/>
    <mergeCell ref="D121:E121"/>
    <mergeCell ref="C131:E131"/>
    <mergeCell ref="D132:E132"/>
    <mergeCell ref="D133:E133"/>
    <mergeCell ref="D65:E65"/>
    <mergeCell ref="D66:E66"/>
    <mergeCell ref="D70:E70"/>
    <mergeCell ref="D99:E99"/>
    <mergeCell ref="D100:E100"/>
    <mergeCell ref="D101:E101"/>
    <mergeCell ref="D110:E110"/>
    <mergeCell ref="C115:E115"/>
    <mergeCell ref="D116:E116"/>
    <mergeCell ref="D93:E93"/>
    <mergeCell ref="D94:E94"/>
    <mergeCell ref="D95:E95"/>
    <mergeCell ref="D96:E96"/>
    <mergeCell ref="D97:E97"/>
    <mergeCell ref="D98:E98"/>
    <mergeCell ref="A71:A119"/>
    <mergeCell ref="B71:B119"/>
    <mergeCell ref="D74:E74"/>
    <mergeCell ref="D75:E75"/>
    <mergeCell ref="D76:E76"/>
    <mergeCell ref="D40:E40"/>
    <mergeCell ref="B41:E41"/>
    <mergeCell ref="A42:A70"/>
    <mergeCell ref="C42:E42"/>
    <mergeCell ref="B43:B70"/>
    <mergeCell ref="C43:E43"/>
    <mergeCell ref="D44:E44"/>
    <mergeCell ref="D45:E45"/>
    <mergeCell ref="D46:E46"/>
    <mergeCell ref="D57:E57"/>
    <mergeCell ref="A11:A40"/>
    <mergeCell ref="D77:E77"/>
    <mergeCell ref="D78:E78"/>
    <mergeCell ref="D79:E79"/>
    <mergeCell ref="D86:E86"/>
    <mergeCell ref="D91:E91"/>
    <mergeCell ref="D92:E92"/>
    <mergeCell ref="D58:E58"/>
    <mergeCell ref="D64:E64"/>
    <mergeCell ref="A1:D1"/>
    <mergeCell ref="A2:D2"/>
    <mergeCell ref="A3:D3"/>
    <mergeCell ref="E4:J4"/>
    <mergeCell ref="E5:J5"/>
    <mergeCell ref="A8:B8"/>
    <mergeCell ref="D26:E26"/>
    <mergeCell ref="D34:E34"/>
    <mergeCell ref="B35:B39"/>
    <mergeCell ref="D35:E35"/>
    <mergeCell ref="D36:E36"/>
    <mergeCell ref="D37:E37"/>
    <mergeCell ref="D38:E38"/>
    <mergeCell ref="D39:E39"/>
    <mergeCell ref="B10:E10"/>
    <mergeCell ref="C11:E11"/>
    <mergeCell ref="B12:B25"/>
    <mergeCell ref="D12:E12"/>
    <mergeCell ref="D20:E20"/>
    <mergeCell ref="D21:E21"/>
    <mergeCell ref="C22:C23"/>
    <mergeCell ref="D24:E24"/>
    <mergeCell ref="D25:E2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8"/>
  <sheetViews>
    <sheetView workbookViewId="0">
      <selection activeCell="H161" sqref="H161"/>
    </sheetView>
  </sheetViews>
  <sheetFormatPr defaultRowHeight="12.75" x14ac:dyDescent="0.2"/>
  <cols>
    <col min="1" max="1" width="3.42578125" bestFit="1" customWidth="1"/>
    <col min="2" max="2" width="1.85546875" bestFit="1" customWidth="1"/>
    <col min="3" max="3" width="3" bestFit="1" customWidth="1"/>
    <col min="4" max="4" width="4.7109375" bestFit="1" customWidth="1"/>
    <col min="5" max="5" width="48" customWidth="1"/>
    <col min="6" max="6" width="15.85546875" customWidth="1"/>
    <col min="7" max="7" width="4.42578125" bestFit="1" customWidth="1"/>
    <col min="8" max="8" width="6.85546875" customWidth="1"/>
    <col min="9" max="12" width="10.42578125" bestFit="1" customWidth="1"/>
    <col min="13" max="13" width="8.7109375" bestFit="1" customWidth="1"/>
    <col min="14" max="14" width="11.7109375" customWidth="1"/>
  </cols>
  <sheetData>
    <row r="1" spans="1:14" x14ac:dyDescent="0.2">
      <c r="A1" s="938" t="s">
        <v>0</v>
      </c>
      <c r="B1" s="938"/>
      <c r="C1" s="938"/>
      <c r="D1" s="938"/>
      <c r="E1" s="27" t="s">
        <v>675</v>
      </c>
    </row>
    <row r="2" spans="1:14" x14ac:dyDescent="0.2">
      <c r="A2" s="938" t="s">
        <v>1</v>
      </c>
      <c r="B2" s="938"/>
      <c r="C2" s="938"/>
      <c r="D2" s="938"/>
      <c r="E2" s="272"/>
      <c r="F2" s="272"/>
      <c r="G2" s="51"/>
      <c r="H2" s="51"/>
      <c r="I2" s="51"/>
      <c r="J2" s="51"/>
      <c r="K2" s="53" t="s">
        <v>11</v>
      </c>
      <c r="L2" s="51"/>
      <c r="M2" s="51"/>
    </row>
    <row r="3" spans="1:14" x14ac:dyDescent="0.2">
      <c r="A3" s="938" t="s">
        <v>2</v>
      </c>
      <c r="B3" s="938"/>
      <c r="C3" s="938"/>
      <c r="D3" s="938"/>
      <c r="E3" s="272"/>
      <c r="F3" s="272"/>
      <c r="G3" s="51"/>
      <c r="H3" s="51"/>
      <c r="I3" s="51"/>
      <c r="J3" s="51"/>
      <c r="K3" s="51"/>
      <c r="L3" s="51"/>
      <c r="M3" s="51"/>
    </row>
    <row r="4" spans="1:14" x14ac:dyDescent="0.2">
      <c r="A4" s="272"/>
      <c r="B4" s="272"/>
      <c r="C4" s="272"/>
      <c r="D4" s="51"/>
      <c r="E4" s="1047" t="s">
        <v>3</v>
      </c>
      <c r="F4" s="1047"/>
      <c r="G4" s="1047"/>
      <c r="H4" s="1047"/>
      <c r="I4" s="1047"/>
      <c r="J4" s="1047"/>
      <c r="K4" s="83"/>
      <c r="L4" s="83"/>
      <c r="M4" s="51">
        <v>1000</v>
      </c>
    </row>
    <row r="5" spans="1:14" x14ac:dyDescent="0.2">
      <c r="A5" s="272"/>
      <c r="B5" s="272"/>
      <c r="C5" s="272"/>
      <c r="D5" s="83"/>
      <c r="E5" s="1048" t="s">
        <v>657</v>
      </c>
      <c r="F5" s="1048"/>
      <c r="G5" s="1048"/>
      <c r="H5" s="1048"/>
      <c r="I5" s="1048"/>
      <c r="J5" s="1048"/>
      <c r="K5" s="83"/>
      <c r="L5" s="51"/>
      <c r="M5" s="51"/>
    </row>
    <row r="6" spans="1:14" x14ac:dyDescent="0.2">
      <c r="A6" s="272"/>
      <c r="B6" s="272"/>
      <c r="C6" s="272"/>
      <c r="D6" s="83"/>
      <c r="E6" s="83"/>
      <c r="F6" s="83"/>
      <c r="G6" s="83"/>
      <c r="H6" s="83"/>
      <c r="I6" s="83"/>
      <c r="J6" s="83"/>
      <c r="K6" s="83"/>
      <c r="L6" s="51"/>
      <c r="M6" s="51"/>
    </row>
    <row r="7" spans="1:14" ht="13.5" thickBot="1" x14ac:dyDescent="0.25">
      <c r="A7" s="272"/>
      <c r="B7" s="272"/>
      <c r="C7" s="272"/>
      <c r="D7" s="83"/>
      <c r="E7" s="272"/>
      <c r="F7" s="272"/>
      <c r="G7" s="83"/>
      <c r="H7" s="83"/>
      <c r="I7" s="83"/>
      <c r="J7" s="83"/>
      <c r="K7" s="83"/>
      <c r="L7" s="51"/>
      <c r="M7" s="51"/>
    </row>
    <row r="8" spans="1:14" ht="36.75" customHeight="1" thickBot="1" x14ac:dyDescent="0.25">
      <c r="A8" s="980" t="s">
        <v>308</v>
      </c>
      <c r="B8" s="981"/>
      <c r="C8" s="84"/>
      <c r="D8" s="84"/>
      <c r="E8" s="85" t="s">
        <v>15</v>
      </c>
      <c r="F8" s="85" t="s">
        <v>551</v>
      </c>
      <c r="G8" s="84" t="s">
        <v>309</v>
      </c>
      <c r="H8" s="84"/>
      <c r="I8" s="86" t="s">
        <v>661</v>
      </c>
      <c r="J8" s="84" t="s">
        <v>310</v>
      </c>
      <c r="K8" s="84" t="s">
        <v>311</v>
      </c>
      <c r="L8" s="84" t="s">
        <v>312</v>
      </c>
      <c r="M8" s="273" t="s">
        <v>313</v>
      </c>
      <c r="N8" s="379" t="s">
        <v>658</v>
      </c>
    </row>
    <row r="9" spans="1:14" ht="13.5" thickBot="1" x14ac:dyDescent="0.25">
      <c r="A9" s="84" t="s">
        <v>30</v>
      </c>
      <c r="B9" s="84"/>
      <c r="C9" s="84"/>
      <c r="D9" s="84"/>
      <c r="E9" s="85" t="s">
        <v>4</v>
      </c>
      <c r="F9" s="281"/>
      <c r="G9" s="84" t="s">
        <v>314</v>
      </c>
      <c r="H9" s="84"/>
      <c r="I9" s="84" t="s">
        <v>21</v>
      </c>
      <c r="J9" s="84" t="s">
        <v>17</v>
      </c>
      <c r="K9" s="84" t="s">
        <v>18</v>
      </c>
      <c r="L9" s="84" t="s">
        <v>24</v>
      </c>
      <c r="M9" s="273" t="s">
        <v>19</v>
      </c>
      <c r="N9" s="377"/>
    </row>
    <row r="10" spans="1:14" ht="13.5" thickBot="1" x14ac:dyDescent="0.25">
      <c r="A10" s="87" t="s">
        <v>215</v>
      </c>
      <c r="B10" s="968" t="s">
        <v>462</v>
      </c>
      <c r="C10" s="1011"/>
      <c r="D10" s="1011"/>
      <c r="E10" s="969"/>
      <c r="F10" s="274"/>
      <c r="G10" s="87" t="s">
        <v>4</v>
      </c>
      <c r="H10" s="87"/>
      <c r="I10" s="88">
        <f t="shared" ref="I10:M10" si="0">I11+I34+I40</f>
        <v>1198283.7799999998</v>
      </c>
      <c r="J10" s="88">
        <f t="shared" si="0"/>
        <v>207758.88999999998</v>
      </c>
      <c r="K10" s="88">
        <f t="shared" si="0"/>
        <v>285706.00000000006</v>
      </c>
      <c r="L10" s="88">
        <f t="shared" si="0"/>
        <v>329528.89</v>
      </c>
      <c r="M10" s="353">
        <f t="shared" si="0"/>
        <v>375290</v>
      </c>
      <c r="N10" s="88">
        <f t="shared" ref="N10" si="1">N11+N34+N40</f>
        <v>0</v>
      </c>
    </row>
    <row r="11" spans="1:14" ht="13.5" thickBot="1" x14ac:dyDescent="0.25">
      <c r="A11" s="977"/>
      <c r="B11" s="282" t="s">
        <v>4</v>
      </c>
      <c r="C11" s="1015" t="s">
        <v>113</v>
      </c>
      <c r="D11" s="1016"/>
      <c r="E11" s="1017"/>
      <c r="F11" s="283"/>
      <c r="G11" s="284">
        <f>G10+1</f>
        <v>2</v>
      </c>
      <c r="H11" s="284"/>
      <c r="I11" s="285">
        <f t="shared" ref="I11:M11" si="2">I12+I20+I21+I24+I25+I26</f>
        <v>1198266.8099999998</v>
      </c>
      <c r="J11" s="285">
        <f t="shared" si="2"/>
        <v>207756.25999999998</v>
      </c>
      <c r="K11" s="285">
        <f t="shared" si="2"/>
        <v>285702.11000000004</v>
      </c>
      <c r="L11" s="285">
        <f t="shared" si="2"/>
        <v>329523.44</v>
      </c>
      <c r="M11" s="354">
        <f t="shared" si="2"/>
        <v>375285</v>
      </c>
      <c r="N11" s="285">
        <f t="shared" ref="N11" si="3">N12+N20+N21+N24+N25+N26</f>
        <v>0</v>
      </c>
    </row>
    <row r="12" spans="1:14" ht="13.5" thickBot="1" x14ac:dyDescent="0.25">
      <c r="A12" s="978"/>
      <c r="B12" s="1018"/>
      <c r="C12" s="71" t="s">
        <v>27</v>
      </c>
      <c r="D12" s="973" t="s">
        <v>315</v>
      </c>
      <c r="E12" s="974"/>
      <c r="F12" s="275">
        <v>70</v>
      </c>
      <c r="G12" s="84">
        <f>G11+1</f>
        <v>3</v>
      </c>
      <c r="H12" s="84"/>
      <c r="I12" s="89">
        <f t="shared" ref="I12:M12" si="4">I13+I14+I18+I19</f>
        <v>1086619.67</v>
      </c>
      <c r="J12" s="89">
        <f t="shared" si="4"/>
        <v>205244.86</v>
      </c>
      <c r="K12" s="89">
        <f t="shared" si="4"/>
        <v>232986.17</v>
      </c>
      <c r="L12" s="89">
        <f t="shared" si="4"/>
        <v>326415.64</v>
      </c>
      <c r="M12" s="113">
        <f t="shared" si="4"/>
        <v>321973</v>
      </c>
      <c r="N12" s="89">
        <f t="shared" ref="N12" si="5">N13+N14+N18+N19</f>
        <v>0</v>
      </c>
    </row>
    <row r="13" spans="1:14" ht="13.5" thickBot="1" x14ac:dyDescent="0.25">
      <c r="A13" s="978"/>
      <c r="B13" s="1019"/>
      <c r="C13" s="71"/>
      <c r="D13" s="71" t="s">
        <v>237</v>
      </c>
      <c r="E13" s="71" t="s">
        <v>316</v>
      </c>
      <c r="F13" s="86"/>
      <c r="G13" s="84">
        <f t="shared" ref="G13:G76" si="6">G12+1</f>
        <v>4</v>
      </c>
      <c r="H13" s="84"/>
      <c r="I13" s="89">
        <f t="shared" ref="I13:I19" si="7">SUM(J13:M13)</f>
        <v>0</v>
      </c>
      <c r="J13" s="89"/>
      <c r="K13" s="89"/>
      <c r="L13" s="89"/>
      <c r="M13" s="113"/>
      <c r="N13" s="89"/>
    </row>
    <row r="14" spans="1:14" ht="13.5" thickBot="1" x14ac:dyDescent="0.25">
      <c r="A14" s="978"/>
      <c r="B14" s="1019"/>
      <c r="C14" s="71"/>
      <c r="D14" s="71" t="s">
        <v>66</v>
      </c>
      <c r="E14" s="71" t="s">
        <v>317</v>
      </c>
      <c r="F14" s="86">
        <v>704</v>
      </c>
      <c r="G14" s="84">
        <f>G13+1</f>
        <v>5</v>
      </c>
      <c r="H14" s="84"/>
      <c r="I14" s="89">
        <f t="shared" si="7"/>
        <v>1085273</v>
      </c>
      <c r="J14" s="89">
        <f>SUM(J15:J17)</f>
        <v>205102</v>
      </c>
      <c r="K14" s="89">
        <f>SUM(K15:K17)</f>
        <v>232771</v>
      </c>
      <c r="L14" s="89">
        <f>SUM(L15:L17)</f>
        <v>325730</v>
      </c>
      <c r="M14" s="89">
        <f>SUM(M15:M17)</f>
        <v>321670</v>
      </c>
      <c r="N14" s="91"/>
    </row>
    <row r="15" spans="1:14" ht="13.5" thickBot="1" x14ac:dyDescent="0.25">
      <c r="A15" s="978"/>
      <c r="B15" s="1019"/>
      <c r="C15" s="71"/>
      <c r="D15" s="71"/>
      <c r="E15" s="71"/>
      <c r="F15" s="286" t="s">
        <v>552</v>
      </c>
      <c r="G15" s="84"/>
      <c r="H15" s="84"/>
      <c r="I15" s="89">
        <f t="shared" si="7"/>
        <v>763815</v>
      </c>
      <c r="J15" s="93">
        <v>128301</v>
      </c>
      <c r="K15" s="93">
        <v>157594</v>
      </c>
      <c r="L15" s="93">
        <v>236103</v>
      </c>
      <c r="M15" s="358">
        <v>241817</v>
      </c>
      <c r="N15" s="91"/>
    </row>
    <row r="16" spans="1:14" ht="13.5" thickBot="1" x14ac:dyDescent="0.25">
      <c r="A16" s="978"/>
      <c r="B16" s="1019"/>
      <c r="C16" s="71"/>
      <c r="D16" s="71"/>
      <c r="E16" s="71"/>
      <c r="F16" s="286" t="s">
        <v>553</v>
      </c>
      <c r="G16" s="84"/>
      <c r="H16" s="84"/>
      <c r="I16" s="89">
        <f t="shared" si="7"/>
        <v>317160</v>
      </c>
      <c r="J16" s="90">
        <v>75727</v>
      </c>
      <c r="K16" s="90">
        <v>74103</v>
      </c>
      <c r="L16" s="90">
        <v>88552</v>
      </c>
      <c r="M16" s="355">
        <v>78778</v>
      </c>
      <c r="N16" s="91"/>
    </row>
    <row r="17" spans="1:14" ht="13.5" thickBot="1" x14ac:dyDescent="0.25">
      <c r="A17" s="978"/>
      <c r="B17" s="1019"/>
      <c r="C17" s="71"/>
      <c r="D17" s="71"/>
      <c r="E17" s="71"/>
      <c r="F17" s="286" t="s">
        <v>554</v>
      </c>
      <c r="G17" s="84"/>
      <c r="H17" s="84"/>
      <c r="I17" s="89">
        <f t="shared" si="7"/>
        <v>4298</v>
      </c>
      <c r="J17" s="90">
        <v>1074</v>
      </c>
      <c r="K17" s="90">
        <v>1074</v>
      </c>
      <c r="L17" s="90">
        <v>1075</v>
      </c>
      <c r="M17" s="355">
        <v>1075</v>
      </c>
      <c r="N17" s="91"/>
    </row>
    <row r="18" spans="1:14" ht="13.5" thickBot="1" x14ac:dyDescent="0.25">
      <c r="A18" s="978"/>
      <c r="B18" s="1019"/>
      <c r="C18" s="71"/>
      <c r="D18" s="71" t="s">
        <v>318</v>
      </c>
      <c r="E18" s="71" t="s">
        <v>319</v>
      </c>
      <c r="F18" s="86" t="s">
        <v>555</v>
      </c>
      <c r="G18" s="84">
        <f>G14+1</f>
        <v>6</v>
      </c>
      <c r="H18" s="84"/>
      <c r="I18" s="287">
        <f t="shared" si="7"/>
        <v>0</v>
      </c>
      <c r="J18" s="288"/>
      <c r="K18" s="288"/>
      <c r="L18" s="288"/>
      <c r="M18" s="356"/>
      <c r="N18" s="289"/>
    </row>
    <row r="19" spans="1:14" ht="23.25" thickBot="1" x14ac:dyDescent="0.25">
      <c r="A19" s="978"/>
      <c r="B19" s="1019"/>
      <c r="C19" s="71"/>
      <c r="D19" s="71" t="s">
        <v>320</v>
      </c>
      <c r="E19" s="71" t="s">
        <v>321</v>
      </c>
      <c r="F19" s="86" t="s">
        <v>556</v>
      </c>
      <c r="G19" s="84">
        <f t="shared" si="6"/>
        <v>7</v>
      </c>
      <c r="H19" s="84"/>
      <c r="I19" s="287">
        <f t="shared" si="7"/>
        <v>1346.67</v>
      </c>
      <c r="J19" s="288">
        <v>142.86000000000001</v>
      </c>
      <c r="K19" s="288">
        <v>215.17</v>
      </c>
      <c r="L19" s="288">
        <v>685.64</v>
      </c>
      <c r="M19" s="356">
        <v>303</v>
      </c>
      <c r="N19" s="289"/>
    </row>
    <row r="20" spans="1:14" ht="13.5" thickBot="1" x14ac:dyDescent="0.25">
      <c r="A20" s="978"/>
      <c r="B20" s="1019"/>
      <c r="C20" s="71" t="s">
        <v>38</v>
      </c>
      <c r="D20" s="973" t="s">
        <v>322</v>
      </c>
      <c r="E20" s="974"/>
      <c r="F20" s="275"/>
      <c r="G20" s="84">
        <f t="shared" si="6"/>
        <v>8</v>
      </c>
      <c r="H20" s="84"/>
      <c r="I20" s="89"/>
      <c r="J20" s="89"/>
      <c r="K20" s="89"/>
      <c r="L20" s="89"/>
      <c r="M20" s="113"/>
      <c r="N20" s="89"/>
    </row>
    <row r="21" spans="1:14" ht="26.25" customHeight="1" thickBot="1" x14ac:dyDescent="0.25">
      <c r="A21" s="978"/>
      <c r="B21" s="1019"/>
      <c r="C21" s="71" t="s">
        <v>40</v>
      </c>
      <c r="D21" s="973" t="s">
        <v>323</v>
      </c>
      <c r="E21" s="974"/>
      <c r="F21" s="275"/>
      <c r="G21" s="84">
        <f t="shared" si="6"/>
        <v>9</v>
      </c>
      <c r="H21" s="84"/>
      <c r="I21" s="89">
        <f t="shared" ref="I21:M21" si="8">I22+I23</f>
        <v>0</v>
      </c>
      <c r="J21" s="89">
        <f t="shared" si="8"/>
        <v>0</v>
      </c>
      <c r="K21" s="89">
        <f t="shared" si="8"/>
        <v>0</v>
      </c>
      <c r="L21" s="89">
        <f t="shared" si="8"/>
        <v>0</v>
      </c>
      <c r="M21" s="113">
        <f t="shared" si="8"/>
        <v>0</v>
      </c>
      <c r="N21" s="89">
        <f t="shared" ref="N21" si="9">N22+N23</f>
        <v>0</v>
      </c>
    </row>
    <row r="22" spans="1:14" ht="23.25" thickBot="1" x14ac:dyDescent="0.25">
      <c r="A22" s="978"/>
      <c r="B22" s="1019"/>
      <c r="C22" s="1018"/>
      <c r="D22" s="71" t="s">
        <v>324</v>
      </c>
      <c r="E22" s="71" t="s">
        <v>325</v>
      </c>
      <c r="F22" s="86" t="s">
        <v>557</v>
      </c>
      <c r="G22" s="84">
        <f t="shared" si="6"/>
        <v>10</v>
      </c>
      <c r="H22" s="84"/>
      <c r="I22" s="89">
        <f>SUM(J22:M22)</f>
        <v>0</v>
      </c>
      <c r="J22" s="89"/>
      <c r="K22" s="89"/>
      <c r="L22" s="89"/>
      <c r="M22" s="113"/>
      <c r="N22" s="378"/>
    </row>
    <row r="23" spans="1:14" ht="13.5" thickBot="1" x14ac:dyDescent="0.25">
      <c r="A23" s="978"/>
      <c r="B23" s="1019"/>
      <c r="C23" s="1020"/>
      <c r="D23" s="71" t="s">
        <v>67</v>
      </c>
      <c r="E23" s="71" t="s">
        <v>32</v>
      </c>
      <c r="F23" s="86"/>
      <c r="G23" s="84">
        <f t="shared" si="6"/>
        <v>11</v>
      </c>
      <c r="H23" s="84"/>
      <c r="I23" s="92">
        <f>SUM(J23:M23)</f>
        <v>0</v>
      </c>
      <c r="J23" s="92"/>
      <c r="K23" s="92"/>
      <c r="L23" s="92"/>
      <c r="M23" s="357"/>
      <c r="N23" s="378"/>
    </row>
    <row r="24" spans="1:14" ht="23.25" thickBot="1" x14ac:dyDescent="0.25">
      <c r="A24" s="978"/>
      <c r="B24" s="1019"/>
      <c r="C24" s="71" t="s">
        <v>42</v>
      </c>
      <c r="D24" s="973" t="s">
        <v>326</v>
      </c>
      <c r="E24" s="974"/>
      <c r="F24" s="275" t="s">
        <v>558</v>
      </c>
      <c r="G24" s="84">
        <f t="shared" si="6"/>
        <v>12</v>
      </c>
      <c r="H24" s="84"/>
      <c r="I24" s="93">
        <f>SUM(J24:M24)</f>
        <v>100000</v>
      </c>
      <c r="J24" s="93"/>
      <c r="K24" s="93">
        <v>50000</v>
      </c>
      <c r="L24" s="93"/>
      <c r="M24" s="358">
        <v>50000</v>
      </c>
      <c r="N24" s="378"/>
    </row>
    <row r="25" spans="1:14" ht="13.5" thickBot="1" x14ac:dyDescent="0.25">
      <c r="A25" s="978"/>
      <c r="B25" s="1020"/>
      <c r="C25" s="71" t="s">
        <v>28</v>
      </c>
      <c r="D25" s="973" t="s">
        <v>327</v>
      </c>
      <c r="E25" s="974"/>
      <c r="F25" s="275"/>
      <c r="G25" s="84">
        <f t="shared" si="6"/>
        <v>13</v>
      </c>
      <c r="H25" s="84"/>
      <c r="I25" s="93"/>
      <c r="J25" s="93"/>
      <c r="K25" s="93"/>
      <c r="L25" s="93"/>
      <c r="M25" s="358"/>
      <c r="N25" s="378"/>
    </row>
    <row r="26" spans="1:14" ht="25.5" customHeight="1" thickBot="1" x14ac:dyDescent="0.25">
      <c r="A26" s="978"/>
      <c r="B26" s="71"/>
      <c r="C26" s="71" t="s">
        <v>34</v>
      </c>
      <c r="D26" s="973" t="s">
        <v>328</v>
      </c>
      <c r="E26" s="974"/>
      <c r="F26" s="275"/>
      <c r="G26" s="84">
        <f>G25+1</f>
        <v>14</v>
      </c>
      <c r="H26" s="84"/>
      <c r="I26" s="93">
        <f t="shared" ref="I26:M26" si="10">I27+I28+I31+I32+I33</f>
        <v>11647.14</v>
      </c>
      <c r="J26" s="93">
        <f t="shared" si="10"/>
        <v>2511.4</v>
      </c>
      <c r="K26" s="93">
        <f t="shared" si="10"/>
        <v>2715.94</v>
      </c>
      <c r="L26" s="93">
        <f t="shared" si="10"/>
        <v>3107.8</v>
      </c>
      <c r="M26" s="358">
        <f t="shared" si="10"/>
        <v>3312</v>
      </c>
      <c r="N26" s="93">
        <f t="shared" ref="N26" si="11">N27+N28+N31+N32+N33</f>
        <v>0</v>
      </c>
    </row>
    <row r="27" spans="1:14" ht="34.5" thickBot="1" x14ac:dyDescent="0.25">
      <c r="A27" s="978"/>
      <c r="B27" s="71"/>
      <c r="C27" s="71"/>
      <c r="D27" s="71" t="s">
        <v>329</v>
      </c>
      <c r="E27" s="71" t="s">
        <v>330</v>
      </c>
      <c r="F27" s="86" t="s">
        <v>559</v>
      </c>
      <c r="G27" s="84">
        <f t="shared" si="6"/>
        <v>15</v>
      </c>
      <c r="H27" s="84"/>
      <c r="I27" s="93">
        <f>SUM(J27:M27)</f>
        <v>5911.14</v>
      </c>
      <c r="J27" s="93">
        <v>1077.4000000000001</v>
      </c>
      <c r="K27" s="93">
        <v>1281.94</v>
      </c>
      <c r="L27" s="93">
        <v>1673.8</v>
      </c>
      <c r="M27" s="358">
        <v>1878</v>
      </c>
      <c r="N27" s="378"/>
    </row>
    <row r="28" spans="1:14" ht="23.25" thickBot="1" x14ac:dyDescent="0.25">
      <c r="A28" s="978"/>
      <c r="B28" s="71"/>
      <c r="C28" s="71"/>
      <c r="D28" s="71" t="s">
        <v>52</v>
      </c>
      <c r="E28" s="71" t="s">
        <v>331</v>
      </c>
      <c r="F28" s="86"/>
      <c r="G28" s="84">
        <f t="shared" si="6"/>
        <v>16</v>
      </c>
      <c r="H28" s="84"/>
      <c r="I28" s="93">
        <f t="shared" ref="I28:M28" si="12">SUM(I29:I30)</f>
        <v>0</v>
      </c>
      <c r="J28" s="93">
        <f t="shared" si="12"/>
        <v>0</v>
      </c>
      <c r="K28" s="93">
        <f t="shared" si="12"/>
        <v>0</v>
      </c>
      <c r="L28" s="93">
        <f t="shared" si="12"/>
        <v>0</v>
      </c>
      <c r="M28" s="358">
        <f t="shared" si="12"/>
        <v>0</v>
      </c>
      <c r="N28" s="93">
        <f t="shared" ref="N28" si="13">SUM(N29:N30)</f>
        <v>0</v>
      </c>
    </row>
    <row r="29" spans="1:14" ht="23.25" thickBot="1" x14ac:dyDescent="0.25">
      <c r="A29" s="978"/>
      <c r="B29" s="71"/>
      <c r="C29" s="71"/>
      <c r="D29" s="71"/>
      <c r="E29" s="71" t="s">
        <v>332</v>
      </c>
      <c r="F29" s="86" t="s">
        <v>560</v>
      </c>
      <c r="G29" s="84">
        <f t="shared" si="6"/>
        <v>17</v>
      </c>
      <c r="H29" s="84"/>
      <c r="I29" s="94">
        <f>SUM(J29:M29)</f>
        <v>0</v>
      </c>
      <c r="J29" s="93">
        <v>0</v>
      </c>
      <c r="K29" s="93">
        <v>0</v>
      </c>
      <c r="L29" s="93">
        <v>0</v>
      </c>
      <c r="M29" s="358">
        <v>0</v>
      </c>
      <c r="N29" s="93">
        <v>0</v>
      </c>
    </row>
    <row r="30" spans="1:14" ht="23.25" thickBot="1" x14ac:dyDescent="0.25">
      <c r="A30" s="978"/>
      <c r="B30" s="71"/>
      <c r="C30" s="71"/>
      <c r="D30" s="71"/>
      <c r="E30" s="71" t="s">
        <v>333</v>
      </c>
      <c r="F30" s="86" t="s">
        <v>561</v>
      </c>
      <c r="G30" s="84">
        <f t="shared" si="6"/>
        <v>18</v>
      </c>
      <c r="H30" s="84"/>
      <c r="I30" s="94">
        <f>SUM(J30:M30)</f>
        <v>0</v>
      </c>
      <c r="J30" s="93"/>
      <c r="K30" s="93"/>
      <c r="L30" s="93"/>
      <c r="M30" s="358"/>
      <c r="N30" s="93"/>
    </row>
    <row r="31" spans="1:14" ht="23.25" thickBot="1" x14ac:dyDescent="0.25">
      <c r="A31" s="978"/>
      <c r="B31" s="102"/>
      <c r="C31" s="102"/>
      <c r="D31" s="102" t="s">
        <v>53</v>
      </c>
      <c r="E31" s="102" t="s">
        <v>334</v>
      </c>
      <c r="F31" s="290" t="s">
        <v>562</v>
      </c>
      <c r="G31" s="84">
        <f t="shared" si="6"/>
        <v>19</v>
      </c>
      <c r="H31" s="84"/>
      <c r="I31" s="94">
        <f>SUM(J31:M31)</f>
        <v>0</v>
      </c>
      <c r="J31" s="94">
        <v>0</v>
      </c>
      <c r="K31" s="94">
        <v>0</v>
      </c>
      <c r="L31" s="94">
        <v>0</v>
      </c>
      <c r="M31" s="359">
        <v>0</v>
      </c>
      <c r="N31" s="94">
        <v>0</v>
      </c>
    </row>
    <row r="32" spans="1:14" ht="13.5" thickBot="1" x14ac:dyDescent="0.25">
      <c r="A32" s="978"/>
      <c r="B32" s="102"/>
      <c r="C32" s="102"/>
      <c r="D32" s="102" t="s">
        <v>54</v>
      </c>
      <c r="E32" s="102" t="s">
        <v>335</v>
      </c>
      <c r="F32" s="290"/>
      <c r="G32" s="84">
        <f t="shared" si="6"/>
        <v>20</v>
      </c>
      <c r="H32" s="84"/>
      <c r="I32" s="94"/>
      <c r="J32" s="94"/>
      <c r="K32" s="94"/>
      <c r="L32" s="94"/>
      <c r="M32" s="359"/>
      <c r="N32" s="378"/>
    </row>
    <row r="33" spans="1:14" ht="13.5" thickBot="1" x14ac:dyDescent="0.25">
      <c r="A33" s="978"/>
      <c r="B33" s="102"/>
      <c r="C33" s="102"/>
      <c r="D33" s="102" t="s">
        <v>55</v>
      </c>
      <c r="E33" s="102" t="s">
        <v>321</v>
      </c>
      <c r="F33" s="290" t="s">
        <v>563</v>
      </c>
      <c r="G33" s="84">
        <f t="shared" si="6"/>
        <v>21</v>
      </c>
      <c r="H33" s="84"/>
      <c r="I33" s="94">
        <f>SUM(J33:M33)</f>
        <v>5736</v>
      </c>
      <c r="J33" s="94">
        <v>1434</v>
      </c>
      <c r="K33" s="94">
        <v>1434</v>
      </c>
      <c r="L33" s="94">
        <v>1434</v>
      </c>
      <c r="M33" s="359">
        <v>1434</v>
      </c>
      <c r="N33" s="378"/>
    </row>
    <row r="34" spans="1:14" ht="19.5" customHeight="1" thickBot="1" x14ac:dyDescent="0.25">
      <c r="A34" s="978"/>
      <c r="B34" s="282" t="s">
        <v>21</v>
      </c>
      <c r="C34" s="282"/>
      <c r="D34" s="1015" t="s">
        <v>336</v>
      </c>
      <c r="E34" s="1017"/>
      <c r="F34" s="283"/>
      <c r="G34" s="284">
        <f t="shared" si="6"/>
        <v>22</v>
      </c>
      <c r="H34" s="284"/>
      <c r="I34" s="291">
        <f t="shared" ref="I34:M34" si="14">I35+I36+I37+I38+I39</f>
        <v>16.97</v>
      </c>
      <c r="J34" s="291">
        <f t="shared" si="14"/>
        <v>2.63</v>
      </c>
      <c r="K34" s="291">
        <f t="shared" si="14"/>
        <v>3.89</v>
      </c>
      <c r="L34" s="291">
        <f t="shared" si="14"/>
        <v>5.45</v>
      </c>
      <c r="M34" s="360">
        <f t="shared" si="14"/>
        <v>5</v>
      </c>
      <c r="N34" s="291">
        <f t="shared" ref="N34" si="15">N35+N36+N37+N38+N39</f>
        <v>0</v>
      </c>
    </row>
    <row r="35" spans="1:14" ht="13.5" thickBot="1" x14ac:dyDescent="0.25">
      <c r="A35" s="978"/>
      <c r="B35" s="1018"/>
      <c r="C35" s="71" t="s">
        <v>27</v>
      </c>
      <c r="D35" s="973" t="s">
        <v>337</v>
      </c>
      <c r="E35" s="974"/>
      <c r="F35" s="275"/>
      <c r="G35" s="84">
        <f t="shared" si="6"/>
        <v>23</v>
      </c>
      <c r="H35" s="84"/>
      <c r="I35" s="93">
        <f t="shared" ref="I35:I40" si="16">SUM(J35:M35)</f>
        <v>0</v>
      </c>
      <c r="J35" s="93"/>
      <c r="K35" s="93"/>
      <c r="L35" s="93"/>
      <c r="M35" s="358"/>
      <c r="N35" s="93"/>
    </row>
    <row r="36" spans="1:14" ht="13.5" thickBot="1" x14ac:dyDescent="0.25">
      <c r="A36" s="978"/>
      <c r="B36" s="1019"/>
      <c r="C36" s="71" t="s">
        <v>38</v>
      </c>
      <c r="D36" s="973" t="s">
        <v>338</v>
      </c>
      <c r="E36" s="974"/>
      <c r="F36" s="275"/>
      <c r="G36" s="84">
        <f t="shared" si="6"/>
        <v>24</v>
      </c>
      <c r="H36" s="84"/>
      <c r="I36" s="93">
        <f t="shared" si="16"/>
        <v>0</v>
      </c>
      <c r="J36" s="93"/>
      <c r="K36" s="93"/>
      <c r="L36" s="93"/>
      <c r="M36" s="358"/>
      <c r="N36" s="93"/>
    </row>
    <row r="37" spans="1:14" ht="25.5" customHeight="1" thickBot="1" x14ac:dyDescent="0.25">
      <c r="A37" s="978"/>
      <c r="B37" s="1019"/>
      <c r="C37" s="71" t="s">
        <v>40</v>
      </c>
      <c r="D37" s="973" t="s">
        <v>339</v>
      </c>
      <c r="E37" s="974"/>
      <c r="F37" s="275" t="s">
        <v>564</v>
      </c>
      <c r="G37" s="84">
        <f t="shared" si="6"/>
        <v>25</v>
      </c>
      <c r="H37" s="84"/>
      <c r="I37" s="94">
        <f t="shared" si="16"/>
        <v>0</v>
      </c>
      <c r="J37" s="93"/>
      <c r="K37" s="93"/>
      <c r="L37" s="93"/>
      <c r="M37" s="358"/>
      <c r="N37" s="93"/>
    </row>
    <row r="38" spans="1:14" ht="25.5" customHeight="1" thickBot="1" x14ac:dyDescent="0.25">
      <c r="A38" s="978"/>
      <c r="B38" s="1019"/>
      <c r="C38" s="71" t="s">
        <v>42</v>
      </c>
      <c r="D38" s="973" t="s">
        <v>340</v>
      </c>
      <c r="E38" s="974"/>
      <c r="F38" s="275" t="s">
        <v>565</v>
      </c>
      <c r="G38" s="84">
        <f t="shared" si="6"/>
        <v>26</v>
      </c>
      <c r="H38" s="84"/>
      <c r="I38" s="93">
        <f t="shared" si="16"/>
        <v>16.97</v>
      </c>
      <c r="J38" s="93">
        <v>2.63</v>
      </c>
      <c r="K38" s="93">
        <v>3.89</v>
      </c>
      <c r="L38" s="93">
        <v>5.45</v>
      </c>
      <c r="M38" s="358">
        <v>5</v>
      </c>
      <c r="N38" s="93"/>
    </row>
    <row r="39" spans="1:14" ht="13.5" thickBot="1" x14ac:dyDescent="0.25">
      <c r="A39" s="978"/>
      <c r="B39" s="1020"/>
      <c r="C39" s="71" t="s">
        <v>28</v>
      </c>
      <c r="D39" s="973" t="s">
        <v>341</v>
      </c>
      <c r="E39" s="974"/>
      <c r="F39" s="275" t="s">
        <v>566</v>
      </c>
      <c r="G39" s="84">
        <f t="shared" si="6"/>
        <v>27</v>
      </c>
      <c r="H39" s="84"/>
      <c r="I39" s="93">
        <f t="shared" si="16"/>
        <v>0</v>
      </c>
      <c r="J39" s="93"/>
      <c r="K39" s="93"/>
      <c r="L39" s="93"/>
      <c r="M39" s="358"/>
      <c r="N39" s="93"/>
    </row>
    <row r="40" spans="1:14" ht="13.5" thickBot="1" x14ac:dyDescent="0.25">
      <c r="A40" s="979"/>
      <c r="B40" s="71" t="s">
        <v>17</v>
      </c>
      <c r="C40" s="71"/>
      <c r="D40" s="973" t="s">
        <v>115</v>
      </c>
      <c r="E40" s="974"/>
      <c r="F40" s="275"/>
      <c r="G40" s="84">
        <f t="shared" si="6"/>
        <v>28</v>
      </c>
      <c r="H40" s="84"/>
      <c r="I40" s="93">
        <f t="shared" si="16"/>
        <v>0</v>
      </c>
      <c r="J40" s="93"/>
      <c r="K40" s="93"/>
      <c r="L40" s="93"/>
      <c r="M40" s="358"/>
      <c r="N40" s="93"/>
    </row>
    <row r="41" spans="1:14" ht="13.5" thickBot="1" x14ac:dyDescent="0.25">
      <c r="A41" s="87" t="s">
        <v>23</v>
      </c>
      <c r="B41" s="1023" t="s">
        <v>463</v>
      </c>
      <c r="C41" s="1024"/>
      <c r="D41" s="1024"/>
      <c r="E41" s="1025"/>
      <c r="F41" s="292"/>
      <c r="G41" s="284">
        <f t="shared" si="6"/>
        <v>29</v>
      </c>
      <c r="H41" s="284"/>
      <c r="I41" s="88">
        <f t="shared" ref="I41:M41" si="17">I42+I182+I190</f>
        <v>1691517.5621800001</v>
      </c>
      <c r="J41" s="88">
        <f t="shared" si="17"/>
        <v>335959.91776000004</v>
      </c>
      <c r="K41" s="88">
        <f t="shared" si="17"/>
        <v>427841.92112000001</v>
      </c>
      <c r="L41" s="88">
        <f t="shared" si="17"/>
        <v>423596.53512000002</v>
      </c>
      <c r="M41" s="353">
        <f t="shared" si="17"/>
        <v>504119.18818</v>
      </c>
      <c r="N41" s="88">
        <f t="shared" ref="N41" si="18">N42+N182+N190</f>
        <v>0</v>
      </c>
    </row>
    <row r="42" spans="1:14" ht="21" customHeight="1" thickBot="1" x14ac:dyDescent="0.25">
      <c r="A42" s="977"/>
      <c r="B42" s="293" t="s">
        <v>4</v>
      </c>
      <c r="C42" s="1026" t="s">
        <v>464</v>
      </c>
      <c r="D42" s="1027"/>
      <c r="E42" s="1028"/>
      <c r="F42" s="277"/>
      <c r="G42" s="97">
        <f t="shared" si="6"/>
        <v>30</v>
      </c>
      <c r="H42" s="97"/>
      <c r="I42" s="98">
        <f t="shared" ref="I42:M42" si="19">I43+I115+I131+I165</f>
        <v>1691517.5621800001</v>
      </c>
      <c r="J42" s="98">
        <f t="shared" si="19"/>
        <v>335959.91776000004</v>
      </c>
      <c r="K42" s="98">
        <f t="shared" si="19"/>
        <v>427841.92112000001</v>
      </c>
      <c r="L42" s="98">
        <f t="shared" si="19"/>
        <v>423596.53512000002</v>
      </c>
      <c r="M42" s="361">
        <f t="shared" si="19"/>
        <v>504119.18818</v>
      </c>
      <c r="N42" s="98">
        <f t="shared" ref="N42" si="20">N43+N115+N131+N165</f>
        <v>0</v>
      </c>
    </row>
    <row r="43" spans="1:14" ht="22.5" customHeight="1" thickBot="1" x14ac:dyDescent="0.25">
      <c r="A43" s="978"/>
      <c r="B43" s="1029"/>
      <c r="C43" s="1026" t="s">
        <v>473</v>
      </c>
      <c r="D43" s="1027"/>
      <c r="E43" s="1028"/>
      <c r="F43" s="277"/>
      <c r="G43" s="97">
        <f t="shared" si="6"/>
        <v>31</v>
      </c>
      <c r="H43" s="97"/>
      <c r="I43" s="98">
        <f t="shared" ref="I43:M43" si="21">I44+I65+I75</f>
        <v>633497.15</v>
      </c>
      <c r="J43" s="98">
        <f t="shared" si="21"/>
        <v>104630.01999999999</v>
      </c>
      <c r="K43" s="98">
        <f t="shared" si="21"/>
        <v>138231.93</v>
      </c>
      <c r="L43" s="98">
        <f t="shared" si="21"/>
        <v>158891.39000000001</v>
      </c>
      <c r="M43" s="361">
        <f t="shared" si="21"/>
        <v>231743.81</v>
      </c>
      <c r="N43" s="98">
        <f t="shared" ref="N43" si="22">N44+N65+N75</f>
        <v>0</v>
      </c>
    </row>
    <row r="44" spans="1:14" ht="13.5" thickBot="1" x14ac:dyDescent="0.25">
      <c r="A44" s="978"/>
      <c r="B44" s="1030"/>
      <c r="C44" s="294" t="s">
        <v>265</v>
      </c>
      <c r="D44" s="986" t="s">
        <v>342</v>
      </c>
      <c r="E44" s="988"/>
      <c r="F44" s="276"/>
      <c r="G44" s="97">
        <f t="shared" si="6"/>
        <v>32</v>
      </c>
      <c r="H44" s="97"/>
      <c r="I44" s="100">
        <f t="shared" ref="I44:M44" si="23">I45+I46+I57+I58+I64</f>
        <v>496552.95</v>
      </c>
      <c r="J44" s="100">
        <f t="shared" si="23"/>
        <v>87794.25</v>
      </c>
      <c r="K44" s="100">
        <f t="shared" si="23"/>
        <v>113457.93</v>
      </c>
      <c r="L44" s="100">
        <f t="shared" si="23"/>
        <v>135112.06</v>
      </c>
      <c r="M44" s="362">
        <f t="shared" si="23"/>
        <v>160188.71</v>
      </c>
      <c r="N44" s="100">
        <f t="shared" ref="N44" si="24">N45+N46+N57+N58+N64</f>
        <v>0</v>
      </c>
    </row>
    <row r="45" spans="1:14" ht="13.5" thickBot="1" x14ac:dyDescent="0.25">
      <c r="A45" s="978"/>
      <c r="B45" s="1030"/>
      <c r="C45" s="71" t="s">
        <v>27</v>
      </c>
      <c r="D45" s="973" t="s">
        <v>227</v>
      </c>
      <c r="E45" s="974"/>
      <c r="F45" s="275" t="s">
        <v>567</v>
      </c>
      <c r="G45" s="84">
        <f t="shared" si="6"/>
        <v>33</v>
      </c>
      <c r="H45" s="84"/>
      <c r="I45" s="89">
        <f t="shared" ref="I45:I63" si="25">SUM(J45:M45)</f>
        <v>1242.03</v>
      </c>
      <c r="J45" s="89">
        <v>42.33</v>
      </c>
      <c r="K45" s="89">
        <v>42.33</v>
      </c>
      <c r="L45" s="89">
        <v>42.33</v>
      </c>
      <c r="M45" s="113">
        <v>1115.04</v>
      </c>
      <c r="N45" s="89"/>
    </row>
    <row r="46" spans="1:14" ht="13.5" thickBot="1" x14ac:dyDescent="0.25">
      <c r="A46" s="978"/>
      <c r="B46" s="1030"/>
      <c r="C46" s="71" t="s">
        <v>38</v>
      </c>
      <c r="D46" s="973" t="s">
        <v>267</v>
      </c>
      <c r="E46" s="974"/>
      <c r="F46" s="275" t="s">
        <v>568</v>
      </c>
      <c r="G46" s="84">
        <f t="shared" si="6"/>
        <v>34</v>
      </c>
      <c r="H46" s="84"/>
      <c r="I46" s="89">
        <f>SUM(I47+I54)</f>
        <v>112622.63999999998</v>
      </c>
      <c r="J46" s="89">
        <f>SUM(J47+J54)</f>
        <v>19105.88</v>
      </c>
      <c r="K46" s="89">
        <f>SUM(K47+K54)</f>
        <v>15355.689999999999</v>
      </c>
      <c r="L46" s="89">
        <f>SUM(L47+L54)</f>
        <v>28544.400000000001</v>
      </c>
      <c r="M46" s="113">
        <f>SUM(M47+M54)</f>
        <v>49616.67</v>
      </c>
      <c r="N46" s="89"/>
    </row>
    <row r="47" spans="1:14" ht="13.5" thickBot="1" x14ac:dyDescent="0.25">
      <c r="A47" s="978"/>
      <c r="B47" s="1030"/>
      <c r="C47" s="71"/>
      <c r="D47" s="71" t="s">
        <v>76</v>
      </c>
      <c r="E47" s="71" t="s">
        <v>569</v>
      </c>
      <c r="F47" s="86">
        <v>602</v>
      </c>
      <c r="G47" s="84">
        <f t="shared" si="6"/>
        <v>35</v>
      </c>
      <c r="H47" s="84"/>
      <c r="I47" s="89">
        <f>SUM(J47:M47)</f>
        <v>75913.929999999993</v>
      </c>
      <c r="J47" s="89">
        <f>SUM(J48:J53)</f>
        <v>12602.86</v>
      </c>
      <c r="K47" s="89">
        <f>SUM(K48:K53)</f>
        <v>5214.17</v>
      </c>
      <c r="L47" s="89">
        <f>SUM(L48:L53)</f>
        <v>17205.23</v>
      </c>
      <c r="M47" s="113">
        <f>SUM(M48:M53)</f>
        <v>40891.67</v>
      </c>
      <c r="N47" s="89">
        <f>SUM(N48:N53)</f>
        <v>0</v>
      </c>
    </row>
    <row r="48" spans="1:14" ht="13.5" thickBot="1" x14ac:dyDescent="0.25">
      <c r="A48" s="978"/>
      <c r="B48" s="1030"/>
      <c r="C48" s="295"/>
      <c r="D48" s="295"/>
      <c r="E48" s="71" t="s">
        <v>570</v>
      </c>
      <c r="F48" s="296" t="s">
        <v>571</v>
      </c>
      <c r="G48" s="84"/>
      <c r="H48" s="84"/>
      <c r="I48" s="89">
        <f t="shared" si="25"/>
        <v>62173.19</v>
      </c>
      <c r="J48" s="89">
        <v>9882.17</v>
      </c>
      <c r="K48" s="89">
        <v>2493.48</v>
      </c>
      <c r="L48" s="89">
        <v>14484.54</v>
      </c>
      <c r="M48" s="113">
        <v>35313</v>
      </c>
      <c r="N48" s="89"/>
    </row>
    <row r="49" spans="1:14" ht="13.5" thickBot="1" x14ac:dyDescent="0.25">
      <c r="A49" s="978"/>
      <c r="B49" s="1030"/>
      <c r="C49" s="256"/>
      <c r="D49" s="256"/>
      <c r="E49" s="71" t="s">
        <v>572</v>
      </c>
      <c r="F49" s="296">
        <v>6024</v>
      </c>
      <c r="G49" s="84"/>
      <c r="H49" s="84"/>
      <c r="I49" s="89">
        <f t="shared" si="25"/>
        <v>3066.06</v>
      </c>
      <c r="J49" s="89">
        <v>52.02</v>
      </c>
      <c r="K49" s="89">
        <v>52.02</v>
      </c>
      <c r="L49" s="89">
        <v>52.02</v>
      </c>
      <c r="M49" s="113">
        <v>2910</v>
      </c>
      <c r="N49" s="89"/>
    </row>
    <row r="50" spans="1:14" ht="13.5" thickBot="1" x14ac:dyDescent="0.25">
      <c r="A50" s="978"/>
      <c r="B50" s="1030"/>
      <c r="C50" s="256"/>
      <c r="D50" s="256"/>
      <c r="E50" s="71" t="s">
        <v>573</v>
      </c>
      <c r="F50" s="296">
        <v>6027</v>
      </c>
      <c r="G50" s="84"/>
      <c r="H50" s="84"/>
      <c r="I50" s="89">
        <f t="shared" si="25"/>
        <v>7044</v>
      </c>
      <c r="J50" s="89">
        <v>1761</v>
      </c>
      <c r="K50" s="89">
        <v>1761</v>
      </c>
      <c r="L50" s="89">
        <v>1761</v>
      </c>
      <c r="M50" s="113">
        <v>1761</v>
      </c>
      <c r="N50" s="89"/>
    </row>
    <row r="51" spans="1:14" ht="13.5" thickBot="1" x14ac:dyDescent="0.25">
      <c r="A51" s="978"/>
      <c r="B51" s="1030"/>
      <c r="C51" s="256"/>
      <c r="D51" s="256"/>
      <c r="E51" s="71" t="s">
        <v>574</v>
      </c>
      <c r="F51" s="296" t="s">
        <v>575</v>
      </c>
      <c r="G51" s="84"/>
      <c r="H51" s="84"/>
      <c r="I51" s="89">
        <f t="shared" si="25"/>
        <v>3630.68</v>
      </c>
      <c r="J51" s="89">
        <v>907.67</v>
      </c>
      <c r="K51" s="89">
        <v>907.67</v>
      </c>
      <c r="L51" s="89">
        <v>907.67</v>
      </c>
      <c r="M51" s="113">
        <v>907.67</v>
      </c>
      <c r="N51" s="89"/>
    </row>
    <row r="52" spans="1:14" ht="13.5" thickBot="1" x14ac:dyDescent="0.25">
      <c r="A52" s="978"/>
      <c r="B52" s="1030"/>
      <c r="C52" s="256"/>
      <c r="D52" s="256"/>
      <c r="E52" s="256" t="s">
        <v>576</v>
      </c>
      <c r="F52" s="296">
        <v>608</v>
      </c>
      <c r="G52" s="84"/>
      <c r="H52" s="84"/>
      <c r="I52" s="89">
        <f t="shared" si="25"/>
        <v>0</v>
      </c>
      <c r="J52" s="89"/>
      <c r="K52" s="89"/>
      <c r="L52" s="89"/>
      <c r="M52" s="113"/>
      <c r="N52" s="89"/>
    </row>
    <row r="53" spans="1:14" ht="13.5" thickBot="1" x14ac:dyDescent="0.25">
      <c r="A53" s="978"/>
      <c r="B53" s="1030"/>
      <c r="C53" s="297"/>
      <c r="D53" s="297"/>
      <c r="E53" s="297" t="s">
        <v>577</v>
      </c>
      <c r="F53" s="296">
        <v>609</v>
      </c>
      <c r="G53" s="84"/>
      <c r="H53" s="84"/>
      <c r="I53" s="89">
        <f t="shared" si="25"/>
        <v>0</v>
      </c>
      <c r="J53" s="89"/>
      <c r="K53" s="89"/>
      <c r="L53" s="89"/>
      <c r="M53" s="113"/>
      <c r="N53" s="89"/>
    </row>
    <row r="54" spans="1:14" ht="13.5" thickBot="1" x14ac:dyDescent="0.25">
      <c r="A54" s="978"/>
      <c r="B54" s="1030"/>
      <c r="C54" s="71"/>
      <c r="D54" s="71" t="s">
        <v>99</v>
      </c>
      <c r="E54" s="71" t="s">
        <v>269</v>
      </c>
      <c r="F54" s="86"/>
      <c r="G54" s="84">
        <f>G47+1</f>
        <v>36</v>
      </c>
      <c r="H54" s="476"/>
      <c r="I54" s="89">
        <f t="shared" ref="I54:M54" si="26">SUM(I55:I56)</f>
        <v>36708.71</v>
      </c>
      <c r="J54" s="89">
        <f t="shared" si="26"/>
        <v>6503.02</v>
      </c>
      <c r="K54" s="89">
        <f t="shared" si="26"/>
        <v>10141.519999999999</v>
      </c>
      <c r="L54" s="89">
        <f t="shared" si="26"/>
        <v>11339.17</v>
      </c>
      <c r="M54" s="89">
        <f t="shared" si="26"/>
        <v>8725</v>
      </c>
      <c r="N54" s="89">
        <f>SUM(N55:N56)</f>
        <v>0</v>
      </c>
    </row>
    <row r="55" spans="1:14" ht="13.5" thickBot="1" x14ac:dyDescent="0.25">
      <c r="A55" s="978"/>
      <c r="B55" s="1030"/>
      <c r="C55" s="298"/>
      <c r="D55" s="300"/>
      <c r="E55" s="71" t="s">
        <v>578</v>
      </c>
      <c r="F55" s="296">
        <v>6022</v>
      </c>
      <c r="G55" s="84"/>
      <c r="H55" s="84"/>
      <c r="I55" s="89">
        <f t="shared" si="25"/>
        <v>943.12</v>
      </c>
      <c r="J55" s="89">
        <v>185.5</v>
      </c>
      <c r="K55" s="89">
        <v>347.97</v>
      </c>
      <c r="L55" s="89">
        <v>204.65</v>
      </c>
      <c r="M55" s="113">
        <v>205</v>
      </c>
      <c r="N55" s="89"/>
    </row>
    <row r="56" spans="1:14" ht="13.5" thickBot="1" x14ac:dyDescent="0.25">
      <c r="A56" s="978"/>
      <c r="B56" s="1030"/>
      <c r="C56" s="298"/>
      <c r="D56" s="300"/>
      <c r="E56" s="71" t="s">
        <v>579</v>
      </c>
      <c r="F56" s="296">
        <v>604</v>
      </c>
      <c r="G56" s="84"/>
      <c r="H56" s="84"/>
      <c r="I56" s="89">
        <f t="shared" si="25"/>
        <v>35765.589999999997</v>
      </c>
      <c r="J56" s="89">
        <v>6317.52</v>
      </c>
      <c r="K56" s="89">
        <v>9793.5499999999993</v>
      </c>
      <c r="L56" s="89">
        <v>11134.52</v>
      </c>
      <c r="M56" s="113">
        <v>8520</v>
      </c>
      <c r="N56" s="89"/>
    </row>
    <row r="57" spans="1:14" ht="13.5" thickBot="1" x14ac:dyDescent="0.25">
      <c r="A57" s="978"/>
      <c r="B57" s="1030"/>
      <c r="C57" s="71" t="s">
        <v>40</v>
      </c>
      <c r="D57" s="973" t="s">
        <v>343</v>
      </c>
      <c r="E57" s="974"/>
      <c r="F57" s="275">
        <v>603</v>
      </c>
      <c r="G57" s="84">
        <f>G54+1</f>
        <v>37</v>
      </c>
      <c r="H57" s="84"/>
      <c r="I57" s="89">
        <f t="shared" si="25"/>
        <v>24463.010000000002</v>
      </c>
      <c r="J57" s="89">
        <v>6115.67</v>
      </c>
      <c r="K57" s="89">
        <v>6115.67</v>
      </c>
      <c r="L57" s="89">
        <v>6115.67</v>
      </c>
      <c r="M57" s="113">
        <v>6116</v>
      </c>
      <c r="N57" s="89"/>
    </row>
    <row r="58" spans="1:14" ht="13.5" thickBot="1" x14ac:dyDescent="0.25">
      <c r="A58" s="978"/>
      <c r="B58" s="1030"/>
      <c r="C58" s="71" t="s">
        <v>42</v>
      </c>
      <c r="D58" s="973" t="s">
        <v>271</v>
      </c>
      <c r="E58" s="974"/>
      <c r="F58" s="275">
        <v>605</v>
      </c>
      <c r="G58" s="84">
        <f t="shared" si="6"/>
        <v>38</v>
      </c>
      <c r="H58" s="84"/>
      <c r="I58" s="89">
        <f t="shared" si="25"/>
        <v>358225.27</v>
      </c>
      <c r="J58" s="89">
        <f>SUM(J59:J63)</f>
        <v>62530.369999999995</v>
      </c>
      <c r="K58" s="89">
        <f>SUM(K59:K63)</f>
        <v>91944.239999999991</v>
      </c>
      <c r="L58" s="89">
        <f>SUM(L59:L63)</f>
        <v>100409.66</v>
      </c>
      <c r="M58" s="113">
        <f>SUM(M59:M63)</f>
        <v>103341</v>
      </c>
      <c r="N58" s="89">
        <f>SUM(N59:N63)</f>
        <v>0</v>
      </c>
    </row>
    <row r="59" spans="1:14" ht="13.5" thickBot="1" x14ac:dyDescent="0.25">
      <c r="A59" s="978"/>
      <c r="B59" s="1030"/>
      <c r="C59" s="295"/>
      <c r="D59" s="295"/>
      <c r="E59" s="256" t="s">
        <v>580</v>
      </c>
      <c r="F59" s="296" t="s">
        <v>581</v>
      </c>
      <c r="G59" s="84"/>
      <c r="H59" s="84"/>
      <c r="I59" s="89">
        <f t="shared" si="25"/>
        <v>55089.83</v>
      </c>
      <c r="J59" s="89">
        <v>16360.47</v>
      </c>
      <c r="K59" s="89">
        <v>18125.96</v>
      </c>
      <c r="L59" s="89">
        <v>10031.4</v>
      </c>
      <c r="M59" s="113">
        <v>10572</v>
      </c>
      <c r="N59" s="89"/>
    </row>
    <row r="60" spans="1:14" ht="13.5" thickBot="1" x14ac:dyDescent="0.25">
      <c r="A60" s="978"/>
      <c r="B60" s="1030"/>
      <c r="C60" s="256"/>
      <c r="D60" s="256"/>
      <c r="E60" s="256" t="s">
        <v>582</v>
      </c>
      <c r="F60" s="296" t="s">
        <v>583</v>
      </c>
      <c r="G60" s="84"/>
      <c r="H60" s="84"/>
      <c r="I60" s="89">
        <f t="shared" si="25"/>
        <v>117308.34</v>
      </c>
      <c r="J60" s="89">
        <v>15033.94</v>
      </c>
      <c r="K60" s="89">
        <v>12844</v>
      </c>
      <c r="L60" s="89">
        <v>46680.4</v>
      </c>
      <c r="M60" s="113">
        <v>42750</v>
      </c>
      <c r="N60" s="89"/>
    </row>
    <row r="61" spans="1:14" ht="13.5" thickBot="1" x14ac:dyDescent="0.25">
      <c r="A61" s="978"/>
      <c r="B61" s="1030"/>
      <c r="C61" s="256"/>
      <c r="D61" s="256"/>
      <c r="E61" s="295" t="s">
        <v>584</v>
      </c>
      <c r="F61" s="296" t="s">
        <v>585</v>
      </c>
      <c r="G61" s="84"/>
      <c r="H61" s="84"/>
      <c r="I61" s="89">
        <f t="shared" si="25"/>
        <v>185827.09999999998</v>
      </c>
      <c r="J61" s="89">
        <v>31135.96</v>
      </c>
      <c r="K61" s="89">
        <v>60974.28</v>
      </c>
      <c r="L61" s="89">
        <v>43697.86</v>
      </c>
      <c r="M61" s="113">
        <v>50019</v>
      </c>
      <c r="N61" s="89"/>
    </row>
    <row r="62" spans="1:14" ht="13.5" thickBot="1" x14ac:dyDescent="0.25">
      <c r="A62" s="978"/>
      <c r="B62" s="1030"/>
      <c r="C62" s="256"/>
      <c r="D62" s="256"/>
      <c r="E62" s="256" t="s">
        <v>586</v>
      </c>
      <c r="F62" s="296" t="s">
        <v>587</v>
      </c>
      <c r="G62" s="84"/>
      <c r="H62" s="84"/>
      <c r="I62" s="89">
        <f t="shared" si="25"/>
        <v>0</v>
      </c>
      <c r="J62" s="89"/>
      <c r="K62" s="89"/>
      <c r="L62" s="89"/>
      <c r="M62" s="113"/>
      <c r="N62" s="89"/>
    </row>
    <row r="63" spans="1:14" ht="13.5" thickBot="1" x14ac:dyDescent="0.25">
      <c r="A63" s="978"/>
      <c r="B63" s="1030"/>
      <c r="C63" s="297"/>
      <c r="D63" s="297"/>
      <c r="E63" s="297" t="s">
        <v>588</v>
      </c>
      <c r="F63" s="296" t="s">
        <v>589</v>
      </c>
      <c r="G63" s="84"/>
      <c r="H63" s="84"/>
      <c r="I63" s="89">
        <f t="shared" si="25"/>
        <v>0</v>
      </c>
      <c r="J63" s="89"/>
      <c r="K63" s="89"/>
      <c r="L63" s="89"/>
      <c r="M63" s="113"/>
      <c r="N63" s="89"/>
    </row>
    <row r="64" spans="1:14" ht="13.5" thickBot="1" x14ac:dyDescent="0.25">
      <c r="A64" s="978"/>
      <c r="B64" s="1030"/>
      <c r="C64" s="71" t="s">
        <v>28</v>
      </c>
      <c r="D64" s="973" t="s">
        <v>272</v>
      </c>
      <c r="E64" s="974"/>
      <c r="F64" s="275"/>
      <c r="G64" s="84">
        <f>G58+1</f>
        <v>39</v>
      </c>
      <c r="H64" s="84"/>
      <c r="I64" s="89">
        <v>0</v>
      </c>
      <c r="J64" s="89">
        <v>0</v>
      </c>
      <c r="K64" s="89">
        <v>0</v>
      </c>
      <c r="L64" s="89">
        <v>0</v>
      </c>
      <c r="M64" s="113">
        <v>0</v>
      </c>
      <c r="N64" s="89"/>
    </row>
    <row r="65" spans="1:14" ht="23.25" customHeight="1" thickBot="1" x14ac:dyDescent="0.25">
      <c r="A65" s="978"/>
      <c r="B65" s="1030"/>
      <c r="C65" s="294" t="s">
        <v>273</v>
      </c>
      <c r="D65" s="986" t="s">
        <v>465</v>
      </c>
      <c r="E65" s="988"/>
      <c r="F65" s="276"/>
      <c r="G65" s="97">
        <f t="shared" si="6"/>
        <v>40</v>
      </c>
      <c r="H65" s="97"/>
      <c r="I65" s="100">
        <f t="shared" ref="I65:M65" si="27">SUM(I66:I70)+I74</f>
        <v>39940.600000000006</v>
      </c>
      <c r="J65" s="100">
        <f t="shared" si="27"/>
        <v>2701.37</v>
      </c>
      <c r="K65" s="100">
        <f t="shared" si="27"/>
        <v>2691.8</v>
      </c>
      <c r="L65" s="100">
        <f t="shared" si="27"/>
        <v>2700</v>
      </c>
      <c r="M65" s="362">
        <f t="shared" si="27"/>
        <v>31847.43</v>
      </c>
      <c r="N65" s="100">
        <f t="shared" ref="N65" si="28">SUM(N66:N70)+N74</f>
        <v>0</v>
      </c>
    </row>
    <row r="66" spans="1:14" ht="13.5" thickBot="1" x14ac:dyDescent="0.25">
      <c r="A66" s="978"/>
      <c r="B66" s="1030"/>
      <c r="C66" s="71" t="s">
        <v>27</v>
      </c>
      <c r="D66" s="973" t="s">
        <v>274</v>
      </c>
      <c r="E66" s="974"/>
      <c r="F66" s="275">
        <v>611</v>
      </c>
      <c r="G66" s="84">
        <f t="shared" si="6"/>
        <v>41</v>
      </c>
      <c r="H66" s="84"/>
      <c r="I66" s="89">
        <f>SUM(J66:M66)</f>
        <v>16037.88</v>
      </c>
      <c r="J66" s="89">
        <f>SUM(J67:J69)</f>
        <v>365.96</v>
      </c>
      <c r="K66" s="89">
        <f>SUM(K67:K69)</f>
        <v>365.96</v>
      </c>
      <c r="L66" s="89">
        <f>SUM(L67:L69)</f>
        <v>365.96</v>
      </c>
      <c r="M66" s="113">
        <f>SUM(M67:M69)</f>
        <v>14940</v>
      </c>
      <c r="N66" s="89">
        <f>SUM(N67:N69)</f>
        <v>0</v>
      </c>
    </row>
    <row r="67" spans="1:14" ht="13.5" thickBot="1" x14ac:dyDescent="0.25">
      <c r="A67" s="978"/>
      <c r="B67" s="1030"/>
      <c r="C67" s="71"/>
      <c r="D67" s="278"/>
      <c r="E67" s="279" t="s">
        <v>590</v>
      </c>
      <c r="F67" s="296" t="s">
        <v>591</v>
      </c>
      <c r="G67" s="84"/>
      <c r="H67" s="84"/>
      <c r="I67" s="89">
        <f t="shared" ref="I67:I74" si="29">SUM(J67:M67)</f>
        <v>16037.88</v>
      </c>
      <c r="J67" s="89">
        <v>365.96</v>
      </c>
      <c r="K67" s="89">
        <v>365.96</v>
      </c>
      <c r="L67" s="89">
        <v>365.96</v>
      </c>
      <c r="M67" s="113">
        <v>14940</v>
      </c>
      <c r="N67" s="89"/>
    </row>
    <row r="68" spans="1:14" ht="13.5" thickBot="1" x14ac:dyDescent="0.25">
      <c r="A68" s="978"/>
      <c r="B68" s="1030"/>
      <c r="C68" s="71"/>
      <c r="D68" s="278"/>
      <c r="E68" s="279" t="s">
        <v>592</v>
      </c>
      <c r="F68" s="296">
        <v>611.01</v>
      </c>
      <c r="G68" s="84"/>
      <c r="H68" s="84"/>
      <c r="I68" s="89">
        <f t="shared" si="29"/>
        <v>0</v>
      </c>
      <c r="J68" s="89"/>
      <c r="K68" s="89"/>
      <c r="L68" s="89"/>
      <c r="M68" s="113"/>
      <c r="N68" s="89"/>
    </row>
    <row r="69" spans="1:14" ht="13.5" thickBot="1" x14ac:dyDescent="0.25">
      <c r="A69" s="978"/>
      <c r="B69" s="1030"/>
      <c r="C69" s="71"/>
      <c r="D69" s="278"/>
      <c r="E69" s="279" t="s">
        <v>593</v>
      </c>
      <c r="F69" s="296" t="s">
        <v>594</v>
      </c>
      <c r="G69" s="84"/>
      <c r="H69" s="84"/>
      <c r="I69" s="89">
        <f t="shared" si="29"/>
        <v>0</v>
      </c>
      <c r="J69" s="89"/>
      <c r="K69" s="89"/>
      <c r="L69" s="89"/>
      <c r="M69" s="113"/>
      <c r="N69" s="89"/>
    </row>
    <row r="70" spans="1:14" ht="13.5" thickBot="1" x14ac:dyDescent="0.25">
      <c r="A70" s="979"/>
      <c r="B70" s="1031"/>
      <c r="C70" s="71" t="s">
        <v>38</v>
      </c>
      <c r="D70" s="973" t="s">
        <v>275</v>
      </c>
      <c r="E70" s="974"/>
      <c r="F70" s="275">
        <v>612</v>
      </c>
      <c r="G70" s="84">
        <f>G66+1</f>
        <v>42</v>
      </c>
      <c r="H70" s="84"/>
      <c r="I70" s="89">
        <f t="shared" si="29"/>
        <v>6413.43</v>
      </c>
      <c r="J70" s="89">
        <f>J71+J73</f>
        <v>1607</v>
      </c>
      <c r="K70" s="89">
        <f>K71+K73</f>
        <v>1597</v>
      </c>
      <c r="L70" s="89">
        <f>L71+L73</f>
        <v>1605</v>
      </c>
      <c r="M70" s="113">
        <f>M71+M73</f>
        <v>1604.43</v>
      </c>
      <c r="N70" s="89">
        <f>N71+N73</f>
        <v>0</v>
      </c>
    </row>
    <row r="71" spans="1:14" ht="13.5" thickBot="1" x14ac:dyDescent="0.25">
      <c r="A71" s="977"/>
      <c r="B71" s="1018"/>
      <c r="C71" s="71"/>
      <c r="D71" s="71" t="s">
        <v>76</v>
      </c>
      <c r="E71" s="71" t="s">
        <v>656</v>
      </c>
      <c r="F71" s="86"/>
      <c r="G71" s="84">
        <f t="shared" si="6"/>
        <v>43</v>
      </c>
      <c r="H71" s="84"/>
      <c r="I71" s="89">
        <f t="shared" si="29"/>
        <v>6413.43</v>
      </c>
      <c r="J71" s="89">
        <v>1607</v>
      </c>
      <c r="K71" s="89">
        <v>1597</v>
      </c>
      <c r="L71" s="89">
        <v>1605</v>
      </c>
      <c r="M71" s="113">
        <v>1604.43</v>
      </c>
      <c r="N71" s="89"/>
    </row>
    <row r="72" spans="1:14" ht="13.5" thickBot="1" x14ac:dyDescent="0.25">
      <c r="A72" s="978"/>
      <c r="B72" s="1019"/>
      <c r="C72" s="71"/>
      <c r="D72" s="71"/>
      <c r="E72" s="86" t="s">
        <v>595</v>
      </c>
      <c r="F72" s="286" t="s">
        <v>596</v>
      </c>
      <c r="G72" s="84"/>
      <c r="H72" s="84"/>
      <c r="I72" s="89">
        <f t="shared" si="29"/>
        <v>0</v>
      </c>
      <c r="J72" s="89"/>
      <c r="K72" s="89"/>
      <c r="L72" s="89"/>
      <c r="M72" s="113"/>
      <c r="N72" s="89"/>
    </row>
    <row r="73" spans="1:14" ht="13.5" thickBot="1" x14ac:dyDescent="0.25">
      <c r="A73" s="978"/>
      <c r="B73" s="1019"/>
      <c r="C73" s="71"/>
      <c r="D73" s="71" t="s">
        <v>99</v>
      </c>
      <c r="E73" s="71" t="s">
        <v>158</v>
      </c>
      <c r="F73" s="86">
        <v>612</v>
      </c>
      <c r="G73" s="84">
        <f>G71+1</f>
        <v>44</v>
      </c>
      <c r="H73" s="84"/>
      <c r="I73" s="89">
        <f t="shared" si="29"/>
        <v>0</v>
      </c>
      <c r="J73" s="89"/>
      <c r="K73" s="89"/>
      <c r="L73" s="89"/>
      <c r="M73" s="113"/>
      <c r="N73" s="89"/>
    </row>
    <row r="74" spans="1:14" ht="13.5" thickBot="1" x14ac:dyDescent="0.25">
      <c r="A74" s="978"/>
      <c r="B74" s="1019"/>
      <c r="C74" s="71" t="s">
        <v>40</v>
      </c>
      <c r="D74" s="973" t="s">
        <v>159</v>
      </c>
      <c r="E74" s="974"/>
      <c r="F74" s="301" t="s">
        <v>597</v>
      </c>
      <c r="G74" s="84">
        <f t="shared" si="6"/>
        <v>45</v>
      </c>
      <c r="H74" s="84"/>
      <c r="I74" s="89">
        <f t="shared" si="29"/>
        <v>1451.4099999999999</v>
      </c>
      <c r="J74" s="89">
        <v>362.45</v>
      </c>
      <c r="K74" s="89">
        <v>362.88</v>
      </c>
      <c r="L74" s="89">
        <v>363.08</v>
      </c>
      <c r="M74" s="113">
        <v>363</v>
      </c>
      <c r="N74" s="89"/>
    </row>
    <row r="75" spans="1:14" ht="23.25" customHeight="1" thickBot="1" x14ac:dyDescent="0.25">
      <c r="A75" s="978"/>
      <c r="B75" s="1019"/>
      <c r="C75" s="294" t="s">
        <v>160</v>
      </c>
      <c r="D75" s="986" t="s">
        <v>466</v>
      </c>
      <c r="E75" s="988"/>
      <c r="F75" s="276"/>
      <c r="G75" s="97">
        <f t="shared" si="6"/>
        <v>46</v>
      </c>
      <c r="H75" s="97"/>
      <c r="I75" s="100">
        <f t="shared" ref="I75:M75" si="30">I76+I77+I79+I86+I91+I95+I99+I100+I101+I110</f>
        <v>97003.6</v>
      </c>
      <c r="J75" s="100">
        <f t="shared" si="30"/>
        <v>14134.4</v>
      </c>
      <c r="K75" s="100">
        <f t="shared" si="30"/>
        <v>22082.2</v>
      </c>
      <c r="L75" s="100">
        <f t="shared" si="30"/>
        <v>21079.33</v>
      </c>
      <c r="M75" s="362">
        <f t="shared" si="30"/>
        <v>39707.67</v>
      </c>
      <c r="N75" s="100">
        <f t="shared" ref="N75" si="31">N76+N77+N79+N86+N91+N95+N99+N100+N101+N110</f>
        <v>0</v>
      </c>
    </row>
    <row r="76" spans="1:14" ht="13.5" thickBot="1" x14ac:dyDescent="0.25">
      <c r="A76" s="978"/>
      <c r="B76" s="1019"/>
      <c r="C76" s="71" t="s">
        <v>27</v>
      </c>
      <c r="D76" s="1021" t="s">
        <v>161</v>
      </c>
      <c r="E76" s="1022"/>
      <c r="F76" s="302">
        <v>621</v>
      </c>
      <c r="G76" s="84">
        <f t="shared" si="6"/>
        <v>47</v>
      </c>
      <c r="H76" s="84"/>
      <c r="I76" s="242">
        <f>SUM(J76:M76)</f>
        <v>0</v>
      </c>
      <c r="J76" s="101"/>
      <c r="K76" s="101"/>
      <c r="L76" s="101"/>
      <c r="M76" s="363"/>
      <c r="N76" s="101"/>
    </row>
    <row r="77" spans="1:14" ht="13.5" thickBot="1" x14ac:dyDescent="0.25">
      <c r="A77" s="978"/>
      <c r="B77" s="1019"/>
      <c r="C77" s="71" t="s">
        <v>38</v>
      </c>
      <c r="D77" s="1021" t="s">
        <v>162</v>
      </c>
      <c r="E77" s="1022"/>
      <c r="F77" s="302">
        <v>622</v>
      </c>
      <c r="G77" s="84">
        <f t="shared" ref="G77:G140" si="32">G76+1</f>
        <v>48</v>
      </c>
      <c r="H77" s="84"/>
      <c r="I77" s="242">
        <f>SUM(J77:M77)</f>
        <v>0</v>
      </c>
      <c r="J77" s="101"/>
      <c r="K77" s="101"/>
      <c r="L77" s="101"/>
      <c r="M77" s="363"/>
      <c r="N77" s="101"/>
    </row>
    <row r="78" spans="1:14" ht="13.5" thickBot="1" x14ac:dyDescent="0.25">
      <c r="A78" s="978"/>
      <c r="B78" s="1019"/>
      <c r="C78" s="71"/>
      <c r="D78" s="1021" t="s">
        <v>381</v>
      </c>
      <c r="E78" s="1022"/>
      <c r="F78" s="302"/>
      <c r="G78" s="84">
        <f t="shared" si="32"/>
        <v>49</v>
      </c>
      <c r="H78" s="84"/>
      <c r="I78" s="242">
        <f>SUM(J78:M78)</f>
        <v>0</v>
      </c>
      <c r="J78" s="101"/>
      <c r="K78" s="101"/>
      <c r="L78" s="101"/>
      <c r="M78" s="363"/>
      <c r="N78" s="101"/>
    </row>
    <row r="79" spans="1:14" ht="13.5" thickBot="1" x14ac:dyDescent="0.25">
      <c r="A79" s="978"/>
      <c r="B79" s="1019"/>
      <c r="C79" s="71" t="s">
        <v>40</v>
      </c>
      <c r="D79" s="973" t="s">
        <v>432</v>
      </c>
      <c r="E79" s="974"/>
      <c r="F79" s="275"/>
      <c r="G79" s="84">
        <f t="shared" si="32"/>
        <v>50</v>
      </c>
      <c r="H79" s="84"/>
      <c r="I79" s="242">
        <f t="shared" ref="I79:M79" si="33">I80+I82</f>
        <v>0</v>
      </c>
      <c r="J79" s="89">
        <f t="shared" si="33"/>
        <v>0</v>
      </c>
      <c r="K79" s="89">
        <f t="shared" si="33"/>
        <v>0</v>
      </c>
      <c r="L79" s="89">
        <f t="shared" si="33"/>
        <v>0</v>
      </c>
      <c r="M79" s="113">
        <f t="shared" si="33"/>
        <v>0</v>
      </c>
      <c r="N79" s="89">
        <f t="shared" ref="N79" si="34">N80+N82</f>
        <v>0</v>
      </c>
    </row>
    <row r="80" spans="1:14" ht="13.5" thickBot="1" x14ac:dyDescent="0.25">
      <c r="A80" s="978"/>
      <c r="B80" s="1019"/>
      <c r="C80" s="71"/>
      <c r="D80" s="71" t="s">
        <v>278</v>
      </c>
      <c r="E80" s="71" t="s">
        <v>163</v>
      </c>
      <c r="F80" s="86" t="s">
        <v>598</v>
      </c>
      <c r="G80" s="84">
        <f t="shared" si="32"/>
        <v>51</v>
      </c>
      <c r="H80" s="84"/>
      <c r="I80" s="242">
        <f>SUM(J80:M80)</f>
        <v>0</v>
      </c>
      <c r="J80" s="89"/>
      <c r="K80" s="89"/>
      <c r="L80" s="89"/>
      <c r="M80" s="113"/>
      <c r="N80" s="89"/>
    </row>
    <row r="81" spans="1:14" ht="13.5" thickBot="1" x14ac:dyDescent="0.25">
      <c r="A81" s="978"/>
      <c r="B81" s="1019"/>
      <c r="C81" s="71"/>
      <c r="D81" s="71"/>
      <c r="E81" s="71" t="s">
        <v>164</v>
      </c>
      <c r="F81" s="86"/>
      <c r="G81" s="84">
        <f t="shared" si="32"/>
        <v>52</v>
      </c>
      <c r="H81" s="84"/>
      <c r="I81" s="89">
        <f>SUM(J81:M81)</f>
        <v>0</v>
      </c>
      <c r="J81" s="89"/>
      <c r="K81" s="89"/>
      <c r="L81" s="89"/>
      <c r="M81" s="113"/>
      <c r="N81" s="89"/>
    </row>
    <row r="82" spans="1:14" ht="13.5" thickBot="1" x14ac:dyDescent="0.25">
      <c r="A82" s="978"/>
      <c r="B82" s="1019"/>
      <c r="C82" s="71"/>
      <c r="D82" s="71" t="s">
        <v>165</v>
      </c>
      <c r="E82" s="71" t="s">
        <v>166</v>
      </c>
      <c r="F82" s="86" t="s">
        <v>599</v>
      </c>
      <c r="G82" s="84">
        <f t="shared" si="32"/>
        <v>53</v>
      </c>
      <c r="H82" s="84"/>
      <c r="I82" s="89">
        <f>SUM(J82:M82)</f>
        <v>0</v>
      </c>
      <c r="J82" s="89"/>
      <c r="K82" s="89"/>
      <c r="L82" s="89"/>
      <c r="M82" s="113"/>
      <c r="N82" s="89"/>
    </row>
    <row r="83" spans="1:14" ht="23.25" thickBot="1" x14ac:dyDescent="0.25">
      <c r="A83" s="978"/>
      <c r="B83" s="1019"/>
      <c r="C83" s="71"/>
      <c r="D83" s="71"/>
      <c r="E83" s="71" t="s">
        <v>167</v>
      </c>
      <c r="F83" s="86" t="s">
        <v>22</v>
      </c>
      <c r="G83" s="84">
        <f t="shared" si="32"/>
        <v>54</v>
      </c>
      <c r="H83" s="84"/>
      <c r="I83" s="89">
        <f>SUM(J83:M83)</f>
        <v>0</v>
      </c>
      <c r="J83" s="89"/>
      <c r="K83" s="89"/>
      <c r="L83" s="89"/>
      <c r="M83" s="113"/>
      <c r="N83" s="89"/>
    </row>
    <row r="84" spans="1:14" ht="34.5" thickBot="1" x14ac:dyDescent="0.25">
      <c r="A84" s="978"/>
      <c r="B84" s="1019"/>
      <c r="C84" s="71"/>
      <c r="D84" s="71"/>
      <c r="E84" s="71" t="s">
        <v>168</v>
      </c>
      <c r="F84" s="86" t="s">
        <v>22</v>
      </c>
      <c r="G84" s="84">
        <f t="shared" si="32"/>
        <v>55</v>
      </c>
      <c r="H84" s="84"/>
      <c r="I84" s="89">
        <f>SUM(J84:M84)</f>
        <v>0</v>
      </c>
      <c r="J84" s="89"/>
      <c r="K84" s="89"/>
      <c r="L84" s="89"/>
      <c r="M84" s="113"/>
      <c r="N84" s="89"/>
    </row>
    <row r="85" spans="1:14" ht="13.5" thickBot="1" x14ac:dyDescent="0.25">
      <c r="A85" s="978"/>
      <c r="B85" s="1019"/>
      <c r="C85" s="71"/>
      <c r="D85" s="71"/>
      <c r="E85" s="71" t="s">
        <v>169</v>
      </c>
      <c r="F85" s="86" t="s">
        <v>22</v>
      </c>
      <c r="G85" s="84">
        <f t="shared" si="32"/>
        <v>56</v>
      </c>
      <c r="H85" s="84"/>
      <c r="I85" s="242"/>
      <c r="J85" s="89"/>
      <c r="K85" s="89"/>
      <c r="L85" s="89"/>
      <c r="M85" s="113"/>
      <c r="N85" s="89"/>
    </row>
    <row r="86" spans="1:14" ht="13.5" thickBot="1" x14ac:dyDescent="0.25">
      <c r="A86" s="978"/>
      <c r="B86" s="1019"/>
      <c r="C86" s="71" t="s">
        <v>42</v>
      </c>
      <c r="D86" s="973" t="s">
        <v>433</v>
      </c>
      <c r="E86" s="974"/>
      <c r="F86" s="275">
        <v>6582</v>
      </c>
      <c r="G86" s="84">
        <f t="shared" si="32"/>
        <v>57</v>
      </c>
      <c r="H86" s="84"/>
      <c r="I86" s="242">
        <f>SUM(J86:M86)</f>
        <v>0</v>
      </c>
      <c r="J86" s="89">
        <f>J87+J88+J89+J90</f>
        <v>0</v>
      </c>
      <c r="K86" s="89">
        <f>K87+K88+K89+K90</f>
        <v>0</v>
      </c>
      <c r="L86" s="89">
        <f>L87+L88+L89+L90</f>
        <v>0</v>
      </c>
      <c r="M86" s="113">
        <f>M87+M88+M89+M90</f>
        <v>0</v>
      </c>
      <c r="N86" s="89">
        <f>N87+N88+N89+N90</f>
        <v>0</v>
      </c>
    </row>
    <row r="87" spans="1:14" ht="13.5" thickBot="1" x14ac:dyDescent="0.25">
      <c r="A87" s="978"/>
      <c r="B87" s="1019"/>
      <c r="C87" s="71"/>
      <c r="D87" s="102" t="s">
        <v>170</v>
      </c>
      <c r="E87" s="102" t="s">
        <v>236</v>
      </c>
      <c r="F87" s="290" t="s">
        <v>600</v>
      </c>
      <c r="G87" s="84">
        <f t="shared" si="32"/>
        <v>58</v>
      </c>
      <c r="H87" s="84"/>
      <c r="I87" s="242">
        <f t="shared" ref="I87:I95" si="35">SUM(J87:M87)</f>
        <v>0</v>
      </c>
      <c r="J87" s="101"/>
      <c r="K87" s="101"/>
      <c r="L87" s="101"/>
      <c r="M87" s="363"/>
      <c r="N87" s="101"/>
    </row>
    <row r="88" spans="1:14" ht="13.5" thickBot="1" x14ac:dyDescent="0.25">
      <c r="A88" s="978"/>
      <c r="B88" s="1019"/>
      <c r="C88" s="71"/>
      <c r="D88" s="102" t="s">
        <v>171</v>
      </c>
      <c r="E88" s="102" t="s">
        <v>382</v>
      </c>
      <c r="F88" s="290" t="s">
        <v>601</v>
      </c>
      <c r="G88" s="84">
        <f t="shared" si="32"/>
        <v>59</v>
      </c>
      <c r="H88" s="84"/>
      <c r="I88" s="242">
        <f t="shared" si="35"/>
        <v>0</v>
      </c>
      <c r="J88" s="101"/>
      <c r="K88" s="101"/>
      <c r="L88" s="101"/>
      <c r="M88" s="363"/>
      <c r="N88" s="101"/>
    </row>
    <row r="89" spans="1:14" ht="13.5" thickBot="1" x14ac:dyDescent="0.25">
      <c r="A89" s="978"/>
      <c r="B89" s="1019"/>
      <c r="C89" s="71"/>
      <c r="D89" s="102" t="s">
        <v>172</v>
      </c>
      <c r="E89" s="102" t="s">
        <v>383</v>
      </c>
      <c r="F89" s="290" t="s">
        <v>602</v>
      </c>
      <c r="G89" s="84">
        <f t="shared" si="32"/>
        <v>60</v>
      </c>
      <c r="H89" s="84"/>
      <c r="I89" s="242">
        <f t="shared" si="35"/>
        <v>0</v>
      </c>
      <c r="J89" s="101"/>
      <c r="K89" s="101"/>
      <c r="L89" s="101"/>
      <c r="M89" s="363"/>
      <c r="N89" s="101"/>
    </row>
    <row r="90" spans="1:14" ht="13.5" thickBot="1" x14ac:dyDescent="0.25">
      <c r="A90" s="978"/>
      <c r="B90" s="1019"/>
      <c r="C90" s="71"/>
      <c r="D90" s="102" t="s">
        <v>173</v>
      </c>
      <c r="E90" s="102" t="s">
        <v>384</v>
      </c>
      <c r="F90" s="290" t="s">
        <v>603</v>
      </c>
      <c r="G90" s="84">
        <f t="shared" si="32"/>
        <v>61</v>
      </c>
      <c r="H90" s="84"/>
      <c r="I90" s="242">
        <f t="shared" si="35"/>
        <v>0</v>
      </c>
      <c r="J90" s="101"/>
      <c r="K90" s="101"/>
      <c r="L90" s="101"/>
      <c r="M90" s="363"/>
      <c r="N90" s="101"/>
    </row>
    <row r="91" spans="1:14" ht="13.5" thickBot="1" x14ac:dyDescent="0.25">
      <c r="A91" s="978"/>
      <c r="B91" s="1019"/>
      <c r="C91" s="71" t="s">
        <v>28</v>
      </c>
      <c r="D91" s="973" t="s">
        <v>174</v>
      </c>
      <c r="E91" s="974"/>
      <c r="F91" s="275">
        <v>624</v>
      </c>
      <c r="G91" s="84">
        <f t="shared" si="32"/>
        <v>62</v>
      </c>
      <c r="H91" s="84"/>
      <c r="I91" s="242">
        <f t="shared" si="35"/>
        <v>0</v>
      </c>
      <c r="J91" s="101">
        <f>SUM(J92:J94)</f>
        <v>0</v>
      </c>
      <c r="K91" s="101">
        <f>SUM(K92:K94)</f>
        <v>0</v>
      </c>
      <c r="L91" s="101">
        <f>SUM(L92:L94)</f>
        <v>0</v>
      </c>
      <c r="M91" s="363">
        <f>SUM(M92:M94)</f>
        <v>0</v>
      </c>
      <c r="N91" s="101">
        <f>SUM(N92:N94)</f>
        <v>0</v>
      </c>
    </row>
    <row r="92" spans="1:14" ht="13.5" thickBot="1" x14ac:dyDescent="0.25">
      <c r="A92" s="978"/>
      <c r="B92" s="1019"/>
      <c r="C92" s="71"/>
      <c r="D92" s="973" t="s">
        <v>604</v>
      </c>
      <c r="E92" s="974"/>
      <c r="F92" s="303" t="s">
        <v>605</v>
      </c>
      <c r="G92" s="84"/>
      <c r="H92" s="84"/>
      <c r="I92" s="242"/>
      <c r="J92" s="101"/>
      <c r="K92" s="101"/>
      <c r="L92" s="101"/>
      <c r="M92" s="363"/>
      <c r="N92" s="101"/>
    </row>
    <row r="93" spans="1:14" ht="13.5" thickBot="1" x14ac:dyDescent="0.25">
      <c r="A93" s="978"/>
      <c r="B93" s="1019"/>
      <c r="C93" s="71"/>
      <c r="D93" s="973" t="s">
        <v>606</v>
      </c>
      <c r="E93" s="974"/>
      <c r="F93" s="303" t="s">
        <v>607</v>
      </c>
      <c r="G93" s="84"/>
      <c r="H93" s="84"/>
      <c r="I93" s="242"/>
      <c r="J93" s="101"/>
      <c r="K93" s="101"/>
      <c r="L93" s="101"/>
      <c r="M93" s="363"/>
      <c r="N93" s="101"/>
    </row>
    <row r="94" spans="1:14" ht="13.5" thickBot="1" x14ac:dyDescent="0.25">
      <c r="A94" s="978"/>
      <c r="B94" s="1019"/>
      <c r="C94" s="71"/>
      <c r="D94" s="973" t="s">
        <v>608</v>
      </c>
      <c r="E94" s="974"/>
      <c r="F94" s="303">
        <v>624</v>
      </c>
      <c r="G94" s="84"/>
      <c r="H94" s="84"/>
      <c r="I94" s="242"/>
      <c r="J94" s="101"/>
      <c r="K94" s="101"/>
      <c r="L94" s="101"/>
      <c r="M94" s="363"/>
      <c r="N94" s="101"/>
    </row>
    <row r="95" spans="1:14" ht="13.5" thickBot="1" x14ac:dyDescent="0.25">
      <c r="A95" s="978"/>
      <c r="B95" s="1019"/>
      <c r="C95" s="71" t="s">
        <v>34</v>
      </c>
      <c r="D95" s="973" t="s">
        <v>175</v>
      </c>
      <c r="E95" s="974"/>
      <c r="F95" s="275">
        <v>625</v>
      </c>
      <c r="G95" s="84">
        <f>G91+1</f>
        <v>63</v>
      </c>
      <c r="H95" s="84"/>
      <c r="I95" s="242">
        <f t="shared" si="35"/>
        <v>0</v>
      </c>
      <c r="J95" s="89"/>
      <c r="K95" s="89"/>
      <c r="L95" s="89"/>
      <c r="M95" s="113"/>
      <c r="N95" s="89"/>
    </row>
    <row r="96" spans="1:14" ht="13.5" thickBot="1" x14ac:dyDescent="0.25">
      <c r="A96" s="978"/>
      <c r="B96" s="1019"/>
      <c r="C96" s="71"/>
      <c r="D96" s="973" t="s">
        <v>467</v>
      </c>
      <c r="E96" s="974"/>
      <c r="F96" s="275">
        <v>625</v>
      </c>
      <c r="G96" s="84">
        <f t="shared" si="32"/>
        <v>64</v>
      </c>
      <c r="H96" s="84"/>
      <c r="I96" s="242">
        <f t="shared" ref="I96:M96" si="36">I97+I98</f>
        <v>0</v>
      </c>
      <c r="J96" s="89">
        <f t="shared" si="36"/>
        <v>0</v>
      </c>
      <c r="K96" s="89">
        <f t="shared" si="36"/>
        <v>0</v>
      </c>
      <c r="L96" s="89">
        <f t="shared" si="36"/>
        <v>0</v>
      </c>
      <c r="M96" s="113">
        <f t="shared" si="36"/>
        <v>0</v>
      </c>
      <c r="N96" s="89">
        <f t="shared" ref="N96" si="37">N97+N98</f>
        <v>0</v>
      </c>
    </row>
    <row r="97" spans="1:14" ht="13.5" thickBot="1" x14ac:dyDescent="0.25">
      <c r="A97" s="978"/>
      <c r="B97" s="1019"/>
      <c r="C97" s="71"/>
      <c r="D97" s="1021" t="s">
        <v>385</v>
      </c>
      <c r="E97" s="1022"/>
      <c r="F97" s="302" t="s">
        <v>609</v>
      </c>
      <c r="G97" s="84">
        <f t="shared" si="32"/>
        <v>65</v>
      </c>
      <c r="H97" s="84"/>
      <c r="I97" s="101">
        <f t="shared" ref="I97:I114" si="38">SUM(J97:M97)</f>
        <v>0</v>
      </c>
      <c r="J97" s="101"/>
      <c r="K97" s="101"/>
      <c r="L97" s="101"/>
      <c r="M97" s="363"/>
      <c r="N97" s="101"/>
    </row>
    <row r="98" spans="1:14" ht="13.5" thickBot="1" x14ac:dyDescent="0.25">
      <c r="A98" s="978"/>
      <c r="B98" s="1019"/>
      <c r="C98" s="71"/>
      <c r="D98" s="1021" t="s">
        <v>386</v>
      </c>
      <c r="E98" s="1022"/>
      <c r="F98" s="302" t="s">
        <v>610</v>
      </c>
      <c r="G98" s="84">
        <f t="shared" si="32"/>
        <v>66</v>
      </c>
      <c r="H98" s="84"/>
      <c r="I98" s="242">
        <f t="shared" si="38"/>
        <v>0</v>
      </c>
      <c r="J98" s="101"/>
      <c r="K98" s="101"/>
      <c r="L98" s="101"/>
      <c r="M98" s="363"/>
      <c r="N98" s="101"/>
    </row>
    <row r="99" spans="1:14" ht="13.5" thickBot="1" x14ac:dyDescent="0.25">
      <c r="A99" s="978"/>
      <c r="B99" s="1019"/>
      <c r="C99" s="71" t="s">
        <v>35</v>
      </c>
      <c r="D99" s="973" t="s">
        <v>177</v>
      </c>
      <c r="E99" s="974"/>
      <c r="F99" s="275">
        <v>626</v>
      </c>
      <c r="G99" s="84">
        <f t="shared" si="32"/>
        <v>67</v>
      </c>
      <c r="H99" s="84"/>
      <c r="I99" s="242">
        <f t="shared" si="38"/>
        <v>12177.880000000001</v>
      </c>
      <c r="J99" s="89">
        <v>3099.9</v>
      </c>
      <c r="K99" s="89">
        <v>2975.14</v>
      </c>
      <c r="L99" s="89">
        <v>2949.84</v>
      </c>
      <c r="M99" s="113">
        <v>3153</v>
      </c>
      <c r="N99" s="89"/>
    </row>
    <row r="100" spans="1:14" ht="13.5" thickBot="1" x14ac:dyDescent="0.25">
      <c r="A100" s="978"/>
      <c r="B100" s="1019"/>
      <c r="C100" s="71" t="s">
        <v>178</v>
      </c>
      <c r="D100" s="973" t="s">
        <v>179</v>
      </c>
      <c r="E100" s="974"/>
      <c r="F100" s="275">
        <v>627</v>
      </c>
      <c r="G100" s="84">
        <f t="shared" si="32"/>
        <v>68</v>
      </c>
      <c r="H100" s="84"/>
      <c r="I100" s="242">
        <f t="shared" si="38"/>
        <v>490.88</v>
      </c>
      <c r="J100" s="89">
        <v>103.08</v>
      </c>
      <c r="K100" s="89">
        <v>157.65</v>
      </c>
      <c r="L100" s="89">
        <v>68.150000000000006</v>
      </c>
      <c r="M100" s="113">
        <v>162</v>
      </c>
      <c r="N100" s="89"/>
    </row>
    <row r="101" spans="1:14" ht="13.5" thickBot="1" x14ac:dyDescent="0.25">
      <c r="A101" s="978"/>
      <c r="B101" s="1019"/>
      <c r="C101" s="71" t="s">
        <v>180</v>
      </c>
      <c r="D101" s="973" t="s">
        <v>181</v>
      </c>
      <c r="E101" s="974"/>
      <c r="F101" s="275" t="s">
        <v>611</v>
      </c>
      <c r="G101" s="84">
        <f t="shared" si="32"/>
        <v>69</v>
      </c>
      <c r="H101" s="84"/>
      <c r="I101" s="242">
        <f t="shared" si="38"/>
        <v>7122.65</v>
      </c>
      <c r="J101" s="89">
        <f>SUM(J102:J109)-J106</f>
        <v>1069.03</v>
      </c>
      <c r="K101" s="89">
        <f>SUM(K102:K109)-K106</f>
        <v>240.43</v>
      </c>
      <c r="L101" s="89">
        <f>SUM(L102:L109)-L106</f>
        <v>2906.52</v>
      </c>
      <c r="M101" s="113">
        <f>SUM(M102:M109)-M106</f>
        <v>2906.67</v>
      </c>
      <c r="N101" s="89">
        <f>SUM(N102:N109)-N106</f>
        <v>0</v>
      </c>
    </row>
    <row r="102" spans="1:14" ht="13.5" thickBot="1" x14ac:dyDescent="0.25">
      <c r="A102" s="978"/>
      <c r="B102" s="1019"/>
      <c r="C102" s="71"/>
      <c r="D102" s="71" t="s">
        <v>56</v>
      </c>
      <c r="E102" s="71" t="s">
        <v>182</v>
      </c>
      <c r="F102" s="86" t="s">
        <v>612</v>
      </c>
      <c r="G102" s="84">
        <f t="shared" si="32"/>
        <v>70</v>
      </c>
      <c r="H102" s="84"/>
      <c r="I102" s="242">
        <f t="shared" si="38"/>
        <v>0</v>
      </c>
      <c r="J102" s="89"/>
      <c r="K102" s="89"/>
      <c r="L102" s="89"/>
      <c r="M102" s="113"/>
      <c r="N102" s="89"/>
    </row>
    <row r="103" spans="1:14" ht="13.5" thickBot="1" x14ac:dyDescent="0.25">
      <c r="A103" s="978"/>
      <c r="B103" s="1019"/>
      <c r="C103" s="71"/>
      <c r="D103" s="71" t="s">
        <v>57</v>
      </c>
      <c r="E103" s="71" t="s">
        <v>229</v>
      </c>
      <c r="F103" s="86" t="s">
        <v>613</v>
      </c>
      <c r="G103" s="84">
        <f t="shared" si="32"/>
        <v>71</v>
      </c>
      <c r="H103" s="84"/>
      <c r="I103" s="242">
        <f t="shared" si="38"/>
        <v>0</v>
      </c>
      <c r="J103" s="89"/>
      <c r="K103" s="89"/>
      <c r="L103" s="89"/>
      <c r="M103" s="113"/>
      <c r="N103" s="89"/>
    </row>
    <row r="104" spans="1:14" ht="13.5" thickBot="1" x14ac:dyDescent="0.25">
      <c r="A104" s="978"/>
      <c r="B104" s="1019"/>
      <c r="C104" s="71"/>
      <c r="D104" s="71" t="s">
        <v>58</v>
      </c>
      <c r="E104" s="71" t="s">
        <v>183</v>
      </c>
      <c r="F104" s="86">
        <v>614</v>
      </c>
      <c r="G104" s="84">
        <f t="shared" si="32"/>
        <v>72</v>
      </c>
      <c r="H104" s="84"/>
      <c r="I104" s="242">
        <f t="shared" si="38"/>
        <v>166.68</v>
      </c>
      <c r="J104" s="89">
        <v>41.67</v>
      </c>
      <c r="K104" s="89">
        <v>41.67</v>
      </c>
      <c r="L104" s="89">
        <v>41.67</v>
      </c>
      <c r="M104" s="113">
        <v>41.67</v>
      </c>
      <c r="N104" s="89"/>
    </row>
    <row r="105" spans="1:14" ht="23.25" thickBot="1" x14ac:dyDescent="0.25">
      <c r="A105" s="978"/>
      <c r="B105" s="1019"/>
      <c r="C105" s="71"/>
      <c r="D105" s="71" t="s">
        <v>59</v>
      </c>
      <c r="E105" s="71" t="s">
        <v>184</v>
      </c>
      <c r="F105" s="86" t="s">
        <v>614</v>
      </c>
      <c r="G105" s="84">
        <f t="shared" si="32"/>
        <v>73</v>
      </c>
      <c r="H105" s="84"/>
      <c r="I105" s="242">
        <f t="shared" si="38"/>
        <v>0</v>
      </c>
      <c r="J105" s="89"/>
      <c r="K105" s="89"/>
      <c r="L105" s="89"/>
      <c r="M105" s="113"/>
      <c r="N105" s="89"/>
    </row>
    <row r="106" spans="1:14" ht="13.5" thickBot="1" x14ac:dyDescent="0.25">
      <c r="A106" s="978"/>
      <c r="B106" s="1019"/>
      <c r="C106" s="71"/>
      <c r="D106" s="71"/>
      <c r="E106" s="71" t="s">
        <v>387</v>
      </c>
      <c r="F106" s="86"/>
      <c r="G106" s="84">
        <f t="shared" si="32"/>
        <v>74</v>
      </c>
      <c r="H106" s="84"/>
      <c r="I106" s="242">
        <f t="shared" si="38"/>
        <v>0</v>
      </c>
      <c r="J106" s="89"/>
      <c r="K106" s="89"/>
      <c r="L106" s="89"/>
      <c r="M106" s="113"/>
      <c r="N106" s="89"/>
    </row>
    <row r="107" spans="1:14" ht="13.5" thickBot="1" x14ac:dyDescent="0.25">
      <c r="A107" s="978"/>
      <c r="B107" s="1019"/>
      <c r="C107" s="71"/>
      <c r="D107" s="71" t="s">
        <v>60</v>
      </c>
      <c r="E107" s="71" t="s">
        <v>545</v>
      </c>
      <c r="F107" s="86" t="s">
        <v>615</v>
      </c>
      <c r="G107" s="84">
        <f t="shared" si="32"/>
        <v>75</v>
      </c>
      <c r="H107" s="84"/>
      <c r="I107" s="242">
        <f t="shared" si="38"/>
        <v>6955.9699999999993</v>
      </c>
      <c r="J107" s="89">
        <v>1027.3599999999999</v>
      </c>
      <c r="K107" s="89">
        <v>198.76</v>
      </c>
      <c r="L107" s="89">
        <v>2864.85</v>
      </c>
      <c r="M107" s="113">
        <v>2865</v>
      </c>
      <c r="N107" s="89"/>
    </row>
    <row r="108" spans="1:14" ht="23.25" thickBot="1" x14ac:dyDescent="0.25">
      <c r="A108" s="978"/>
      <c r="B108" s="1019"/>
      <c r="C108" s="71"/>
      <c r="D108" s="71" t="s">
        <v>61</v>
      </c>
      <c r="E108" s="71" t="s">
        <v>185</v>
      </c>
      <c r="F108" s="86" t="s">
        <v>22</v>
      </c>
      <c r="G108" s="84">
        <f t="shared" si="32"/>
        <v>76</v>
      </c>
      <c r="H108" s="84"/>
      <c r="I108" s="242">
        <f t="shared" si="38"/>
        <v>0</v>
      </c>
      <c r="J108" s="242"/>
      <c r="K108" s="89"/>
      <c r="L108" s="89"/>
      <c r="M108" s="113"/>
      <c r="N108" s="89"/>
    </row>
    <row r="109" spans="1:14" ht="13.5" thickBot="1" x14ac:dyDescent="0.25">
      <c r="A109" s="978"/>
      <c r="B109" s="1019"/>
      <c r="C109" s="71"/>
      <c r="D109" s="71" t="s">
        <v>62</v>
      </c>
      <c r="E109" s="71" t="s">
        <v>186</v>
      </c>
      <c r="F109" s="86" t="s">
        <v>616</v>
      </c>
      <c r="G109" s="84">
        <f t="shared" si="32"/>
        <v>77</v>
      </c>
      <c r="H109" s="84"/>
      <c r="I109" s="242">
        <f t="shared" si="38"/>
        <v>0</v>
      </c>
      <c r="J109" s="89"/>
      <c r="K109" s="89"/>
      <c r="L109" s="89"/>
      <c r="M109" s="113"/>
      <c r="N109" s="89"/>
    </row>
    <row r="110" spans="1:14" ht="13.5" thickBot="1" x14ac:dyDescent="0.25">
      <c r="A110" s="978"/>
      <c r="B110" s="1019"/>
      <c r="C110" s="71" t="s">
        <v>344</v>
      </c>
      <c r="D110" s="973" t="s">
        <v>149</v>
      </c>
      <c r="E110" s="974"/>
      <c r="F110" s="275">
        <f>SUM(F111:F114)</f>
        <v>0</v>
      </c>
      <c r="G110" s="84">
        <f t="shared" si="32"/>
        <v>78</v>
      </c>
      <c r="H110" s="84"/>
      <c r="I110" s="242">
        <f t="shared" si="38"/>
        <v>77212.19</v>
      </c>
      <c r="J110" s="89">
        <f>SUM(J111:J114)</f>
        <v>9862.39</v>
      </c>
      <c r="K110" s="89">
        <f>SUM(K111:K114)</f>
        <v>18708.98</v>
      </c>
      <c r="L110" s="89">
        <f>SUM(L111:L114)</f>
        <v>15154.82</v>
      </c>
      <c r="M110" s="113">
        <f>SUM(M111:M114)</f>
        <v>33486</v>
      </c>
      <c r="N110" s="89">
        <f>SUM(N111:N114)</f>
        <v>0</v>
      </c>
    </row>
    <row r="111" spans="1:14" ht="13.5" thickBot="1" x14ac:dyDescent="0.25">
      <c r="A111" s="978"/>
      <c r="B111" s="1019"/>
      <c r="C111" s="278"/>
      <c r="D111" s="304"/>
      <c r="E111" s="279" t="s">
        <v>617</v>
      </c>
      <c r="F111" s="296" t="s">
        <v>618</v>
      </c>
      <c r="G111" s="84"/>
      <c r="H111" s="84"/>
      <c r="I111" s="242">
        <f t="shared" si="38"/>
        <v>672.90000000000009</v>
      </c>
      <c r="J111" s="89">
        <v>168.3</v>
      </c>
      <c r="K111" s="89">
        <v>168.3</v>
      </c>
      <c r="L111" s="89">
        <v>168.3</v>
      </c>
      <c r="M111" s="113">
        <v>168</v>
      </c>
      <c r="N111" s="89"/>
    </row>
    <row r="112" spans="1:14" ht="13.5" thickBot="1" x14ac:dyDescent="0.25">
      <c r="A112" s="978"/>
      <c r="B112" s="1019"/>
      <c r="C112" s="278"/>
      <c r="D112" s="304"/>
      <c r="E112" s="279" t="s">
        <v>619</v>
      </c>
      <c r="F112" s="296" t="s">
        <v>620</v>
      </c>
      <c r="G112" s="84"/>
      <c r="H112" s="84"/>
      <c r="I112" s="242">
        <f t="shared" si="38"/>
        <v>0</v>
      </c>
      <c r="J112" s="89"/>
      <c r="K112" s="89">
        <v>0</v>
      </c>
      <c r="L112" s="89"/>
      <c r="M112" s="113"/>
      <c r="N112" s="89"/>
    </row>
    <row r="113" spans="1:14" ht="13.5" thickBot="1" x14ac:dyDescent="0.25">
      <c r="A113" s="978"/>
      <c r="B113" s="1019"/>
      <c r="C113" s="278"/>
      <c r="D113" s="304"/>
      <c r="E113" s="279" t="s">
        <v>621</v>
      </c>
      <c r="F113" s="305" t="s">
        <v>622</v>
      </c>
      <c r="G113" s="84"/>
      <c r="H113" s="84"/>
      <c r="I113" s="242">
        <f t="shared" si="38"/>
        <v>2182</v>
      </c>
      <c r="J113" s="89">
        <v>180</v>
      </c>
      <c r="K113" s="89">
        <v>1702</v>
      </c>
      <c r="L113" s="89">
        <v>150</v>
      </c>
      <c r="M113" s="113">
        <v>150</v>
      </c>
      <c r="N113" s="89"/>
    </row>
    <row r="114" spans="1:14" ht="23.25" thickBot="1" x14ac:dyDescent="0.25">
      <c r="A114" s="978"/>
      <c r="B114" s="1019"/>
      <c r="C114" s="278"/>
      <c r="D114" s="304"/>
      <c r="E114" s="279" t="s">
        <v>623</v>
      </c>
      <c r="F114" s="296" t="s">
        <v>624</v>
      </c>
      <c r="G114" s="84"/>
      <c r="H114" s="84"/>
      <c r="I114" s="242">
        <f t="shared" si="38"/>
        <v>74357.290000000008</v>
      </c>
      <c r="J114" s="89">
        <v>9514.09</v>
      </c>
      <c r="K114" s="89">
        <v>16838.68</v>
      </c>
      <c r="L114" s="89">
        <v>14836.52</v>
      </c>
      <c r="M114" s="113">
        <v>33168</v>
      </c>
      <c r="N114" s="89"/>
    </row>
    <row r="115" spans="1:14" ht="24" customHeight="1" thickBot="1" x14ac:dyDescent="0.25">
      <c r="A115" s="978"/>
      <c r="B115" s="1019"/>
      <c r="C115" s="1026" t="s">
        <v>468</v>
      </c>
      <c r="D115" s="1027"/>
      <c r="E115" s="1028"/>
      <c r="F115" s="277"/>
      <c r="G115" s="97">
        <f>G110+1</f>
        <v>79</v>
      </c>
      <c r="H115" s="97"/>
      <c r="I115" s="98">
        <f t="shared" ref="I115:M115" si="39">I116+I117+I118+I119+I120+I121</f>
        <v>96525.49</v>
      </c>
      <c r="J115" s="98">
        <f t="shared" si="39"/>
        <v>25842.04</v>
      </c>
      <c r="K115" s="98">
        <f t="shared" si="39"/>
        <v>23338.26</v>
      </c>
      <c r="L115" s="98">
        <f t="shared" si="39"/>
        <v>24123.53</v>
      </c>
      <c r="M115" s="361">
        <f t="shared" si="39"/>
        <v>23221.66</v>
      </c>
      <c r="N115" s="98">
        <f t="shared" ref="N115" si="40">N116+N117+N118+N119+N120+N121</f>
        <v>0</v>
      </c>
    </row>
    <row r="116" spans="1:14" ht="20.25" customHeight="1" thickBot="1" x14ac:dyDescent="0.25">
      <c r="A116" s="978"/>
      <c r="B116" s="1019"/>
      <c r="C116" s="71" t="s">
        <v>27</v>
      </c>
      <c r="D116" s="973" t="s">
        <v>188</v>
      </c>
      <c r="E116" s="974"/>
      <c r="F116" s="275" t="s">
        <v>22</v>
      </c>
      <c r="G116" s="84">
        <f t="shared" si="32"/>
        <v>80</v>
      </c>
      <c r="H116" s="84"/>
      <c r="I116" s="89">
        <f t="shared" ref="I116:I130" si="41">SUM(J116:M116)</f>
        <v>0</v>
      </c>
      <c r="J116" s="89"/>
      <c r="K116" s="89"/>
      <c r="L116" s="89"/>
      <c r="M116" s="113"/>
      <c r="N116" s="89"/>
    </row>
    <row r="117" spans="1:14" ht="13.5" thickBot="1" x14ac:dyDescent="0.25">
      <c r="A117" s="978"/>
      <c r="B117" s="1019"/>
      <c r="C117" s="71" t="s">
        <v>38</v>
      </c>
      <c r="D117" s="973" t="s">
        <v>388</v>
      </c>
      <c r="E117" s="974"/>
      <c r="F117" s="275" t="s">
        <v>625</v>
      </c>
      <c r="G117" s="84">
        <f t="shared" si="32"/>
        <v>81</v>
      </c>
      <c r="H117" s="84"/>
      <c r="I117" s="89">
        <f t="shared" si="41"/>
        <v>80833</v>
      </c>
      <c r="J117" s="89">
        <v>20000</v>
      </c>
      <c r="K117" s="89">
        <v>20833</v>
      </c>
      <c r="L117" s="89">
        <v>20000</v>
      </c>
      <c r="M117" s="113">
        <v>20000</v>
      </c>
      <c r="N117" s="89"/>
    </row>
    <row r="118" spans="1:14" ht="13.5" thickBot="1" x14ac:dyDescent="0.25">
      <c r="A118" s="978"/>
      <c r="B118" s="1019"/>
      <c r="C118" s="71" t="s">
        <v>40</v>
      </c>
      <c r="D118" s="973" t="s">
        <v>41</v>
      </c>
      <c r="E118" s="974"/>
      <c r="F118" s="275" t="s">
        <v>626</v>
      </c>
      <c r="G118" s="84">
        <f t="shared" si="32"/>
        <v>82</v>
      </c>
      <c r="H118" s="84"/>
      <c r="I118" s="89">
        <f t="shared" si="41"/>
        <v>0</v>
      </c>
      <c r="J118" s="89">
        <v>0</v>
      </c>
      <c r="K118" s="89"/>
      <c r="L118" s="89"/>
      <c r="M118" s="113"/>
      <c r="N118" s="89"/>
    </row>
    <row r="119" spans="1:14" ht="13.5" thickBot="1" x14ac:dyDescent="0.25">
      <c r="A119" s="979"/>
      <c r="B119" s="1020"/>
      <c r="C119" s="71" t="s">
        <v>42</v>
      </c>
      <c r="D119" s="973" t="s">
        <v>43</v>
      </c>
      <c r="E119" s="974"/>
      <c r="F119" s="275" t="s">
        <v>627</v>
      </c>
      <c r="G119" s="84">
        <f t="shared" si="32"/>
        <v>83</v>
      </c>
      <c r="H119" s="84"/>
      <c r="I119" s="89">
        <f t="shared" si="41"/>
        <v>8317.380000000001</v>
      </c>
      <c r="J119" s="89">
        <v>4167.38</v>
      </c>
      <c r="K119" s="89">
        <v>800</v>
      </c>
      <c r="L119" s="89">
        <v>2150</v>
      </c>
      <c r="M119" s="113">
        <v>1200</v>
      </c>
      <c r="N119" s="89"/>
    </row>
    <row r="120" spans="1:14" ht="13.5" thickBot="1" x14ac:dyDescent="0.25">
      <c r="A120" s="977"/>
      <c r="B120" s="1018"/>
      <c r="C120" s="71" t="s">
        <v>28</v>
      </c>
      <c r="D120" s="973" t="s">
        <v>44</v>
      </c>
      <c r="E120" s="974"/>
      <c r="F120" s="275" t="s">
        <v>628</v>
      </c>
      <c r="G120" s="84">
        <f t="shared" si="32"/>
        <v>84</v>
      </c>
      <c r="H120" s="84"/>
      <c r="I120" s="89">
        <f t="shared" si="41"/>
        <v>0</v>
      </c>
      <c r="J120" s="89"/>
      <c r="K120" s="89"/>
      <c r="L120" s="89"/>
      <c r="M120" s="113"/>
      <c r="N120" s="89"/>
    </row>
    <row r="121" spans="1:14" ht="13.5" thickBot="1" x14ac:dyDescent="0.25">
      <c r="A121" s="978"/>
      <c r="B121" s="1019"/>
      <c r="C121" s="71" t="s">
        <v>34</v>
      </c>
      <c r="D121" s="1029" t="s">
        <v>45</v>
      </c>
      <c r="E121" s="1032"/>
      <c r="F121" s="275" t="s">
        <v>629</v>
      </c>
      <c r="G121" s="84">
        <f t="shared" si="32"/>
        <v>85</v>
      </c>
      <c r="H121" s="84"/>
      <c r="I121" s="89">
        <f t="shared" si="41"/>
        <v>7375.11</v>
      </c>
      <c r="J121" s="89">
        <f>SUM(J122:J130)</f>
        <v>1674.6599999999999</v>
      </c>
      <c r="K121" s="89">
        <f>SUM(K122:K130)</f>
        <v>1705.26</v>
      </c>
      <c r="L121" s="89">
        <f>SUM(L122:L130)</f>
        <v>1973.53</v>
      </c>
      <c r="M121" s="113">
        <f>SUM(M122:M130)</f>
        <v>2021.6599999999999</v>
      </c>
      <c r="N121" s="89">
        <f>SUM(N122:N130)</f>
        <v>0</v>
      </c>
    </row>
    <row r="122" spans="1:14" ht="13.5" thickBot="1" x14ac:dyDescent="0.25">
      <c r="A122" s="978"/>
      <c r="B122" s="1019"/>
      <c r="C122" s="278"/>
      <c r="D122" s="278"/>
      <c r="E122" s="279" t="s">
        <v>630</v>
      </c>
      <c r="F122" s="296" t="s">
        <v>631</v>
      </c>
      <c r="G122" s="84"/>
      <c r="H122" s="84"/>
      <c r="I122" s="89">
        <f t="shared" si="41"/>
        <v>1100.49</v>
      </c>
      <c r="J122" s="89">
        <v>198</v>
      </c>
      <c r="K122" s="89">
        <v>230.6</v>
      </c>
      <c r="L122" s="89">
        <v>321.89</v>
      </c>
      <c r="M122" s="113">
        <v>350</v>
      </c>
      <c r="N122" s="89"/>
    </row>
    <row r="123" spans="1:14" ht="13.5" thickBot="1" x14ac:dyDescent="0.25">
      <c r="A123" s="978"/>
      <c r="B123" s="1019"/>
      <c r="C123" s="278"/>
      <c r="D123" s="278"/>
      <c r="E123" s="279" t="s">
        <v>632</v>
      </c>
      <c r="F123" s="296" t="s">
        <v>633</v>
      </c>
      <c r="G123" s="84"/>
      <c r="H123" s="84"/>
      <c r="I123" s="89">
        <f t="shared" si="41"/>
        <v>1992</v>
      </c>
      <c r="J123" s="89">
        <v>499</v>
      </c>
      <c r="K123" s="89">
        <v>497</v>
      </c>
      <c r="L123" s="89">
        <v>498</v>
      </c>
      <c r="M123" s="113">
        <v>498</v>
      </c>
      <c r="N123" s="89"/>
    </row>
    <row r="124" spans="1:14" ht="13.5" thickBot="1" x14ac:dyDescent="0.25">
      <c r="A124" s="978"/>
      <c r="B124" s="1019"/>
      <c r="C124" s="278"/>
      <c r="D124" s="278"/>
      <c r="E124" s="279" t="s">
        <v>634</v>
      </c>
      <c r="F124" s="296" t="s">
        <v>635</v>
      </c>
      <c r="G124" s="84"/>
      <c r="H124" s="84"/>
      <c r="I124" s="89">
        <f t="shared" si="41"/>
        <v>0</v>
      </c>
      <c r="J124" s="89"/>
      <c r="K124" s="89"/>
      <c r="L124" s="89"/>
      <c r="M124" s="113"/>
      <c r="N124" s="89"/>
    </row>
    <row r="125" spans="1:14" ht="13.5" thickBot="1" x14ac:dyDescent="0.25">
      <c r="A125" s="978"/>
      <c r="B125" s="1019"/>
      <c r="C125" s="278"/>
      <c r="D125" s="278"/>
      <c r="E125" s="279" t="s">
        <v>636</v>
      </c>
      <c r="F125" s="296" t="s">
        <v>637</v>
      </c>
      <c r="G125" s="84"/>
      <c r="H125" s="84"/>
      <c r="I125" s="89">
        <f t="shared" si="41"/>
        <v>1249.32</v>
      </c>
      <c r="J125" s="89">
        <v>312.33</v>
      </c>
      <c r="K125" s="89">
        <v>312.33</v>
      </c>
      <c r="L125" s="89">
        <v>312.33</v>
      </c>
      <c r="M125" s="113">
        <v>312.33</v>
      </c>
      <c r="N125" s="89"/>
    </row>
    <row r="126" spans="1:14" ht="13.5" thickBot="1" x14ac:dyDescent="0.25">
      <c r="A126" s="978"/>
      <c r="B126" s="1019"/>
      <c r="C126" s="278"/>
      <c r="D126" s="278"/>
      <c r="E126" s="279" t="s">
        <v>638</v>
      </c>
      <c r="F126" s="296" t="s">
        <v>639</v>
      </c>
      <c r="G126" s="84"/>
      <c r="H126" s="84"/>
      <c r="I126" s="89">
        <f t="shared" si="41"/>
        <v>45.32</v>
      </c>
      <c r="J126" s="89">
        <v>11.33</v>
      </c>
      <c r="K126" s="89">
        <v>11.33</v>
      </c>
      <c r="L126" s="89">
        <v>11.33</v>
      </c>
      <c r="M126" s="113">
        <v>11.33</v>
      </c>
      <c r="N126" s="89"/>
    </row>
    <row r="127" spans="1:14" ht="13.5" thickBot="1" x14ac:dyDescent="0.25">
      <c r="A127" s="978"/>
      <c r="B127" s="1019"/>
      <c r="C127" s="278"/>
      <c r="D127" s="278"/>
      <c r="E127" s="279" t="s">
        <v>640</v>
      </c>
      <c r="F127" s="296" t="s">
        <v>641</v>
      </c>
      <c r="G127" s="84"/>
      <c r="H127" s="84"/>
      <c r="I127" s="89">
        <f t="shared" si="41"/>
        <v>0</v>
      </c>
      <c r="J127" s="89"/>
      <c r="K127" s="89"/>
      <c r="L127" s="89"/>
      <c r="M127" s="113"/>
      <c r="N127" s="89"/>
    </row>
    <row r="128" spans="1:14" ht="13.5" thickBot="1" x14ac:dyDescent="0.25">
      <c r="A128" s="978"/>
      <c r="B128" s="1019"/>
      <c r="C128" s="278"/>
      <c r="D128" s="278"/>
      <c r="E128" s="279" t="s">
        <v>642</v>
      </c>
      <c r="F128" s="296" t="s">
        <v>643</v>
      </c>
      <c r="G128" s="84"/>
      <c r="H128" s="84"/>
      <c r="I128" s="89">
        <f t="shared" si="41"/>
        <v>0</v>
      </c>
      <c r="J128" s="89"/>
      <c r="K128" s="89"/>
      <c r="L128" s="89"/>
      <c r="M128" s="113"/>
      <c r="N128" s="89"/>
    </row>
    <row r="129" spans="1:14" ht="13.5" thickBot="1" x14ac:dyDescent="0.25">
      <c r="A129" s="978"/>
      <c r="B129" s="1019"/>
      <c r="C129" s="278"/>
      <c r="D129" s="278"/>
      <c r="E129" s="279" t="s">
        <v>644</v>
      </c>
      <c r="F129" s="296" t="s">
        <v>645</v>
      </c>
      <c r="G129" s="84"/>
      <c r="H129" s="84"/>
      <c r="I129" s="89">
        <f t="shared" si="41"/>
        <v>2987.98</v>
      </c>
      <c r="J129" s="89">
        <v>654</v>
      </c>
      <c r="K129" s="89">
        <v>654</v>
      </c>
      <c r="L129" s="89">
        <v>829.98</v>
      </c>
      <c r="M129" s="113">
        <v>850</v>
      </c>
      <c r="N129" s="89"/>
    </row>
    <row r="130" spans="1:14" ht="13.5" thickBot="1" x14ac:dyDescent="0.25">
      <c r="A130" s="978"/>
      <c r="B130" s="1019"/>
      <c r="C130" s="278"/>
      <c r="D130" s="278"/>
      <c r="E130" s="279" t="s">
        <v>646</v>
      </c>
      <c r="F130" s="296" t="s">
        <v>647</v>
      </c>
      <c r="G130" s="84"/>
      <c r="H130" s="84"/>
      <c r="I130" s="89">
        <f t="shared" si="41"/>
        <v>0</v>
      </c>
      <c r="J130" s="89"/>
      <c r="K130" s="89"/>
      <c r="L130" s="89"/>
      <c r="M130" s="113"/>
      <c r="N130" s="89"/>
    </row>
    <row r="131" spans="1:14" ht="21" customHeight="1" thickBot="1" x14ac:dyDescent="0.25">
      <c r="A131" s="978"/>
      <c r="B131" s="1019"/>
      <c r="C131" s="1026" t="s">
        <v>474</v>
      </c>
      <c r="D131" s="1027"/>
      <c r="E131" s="1028"/>
      <c r="F131" s="277"/>
      <c r="G131" s="97">
        <f>G121+1</f>
        <v>86</v>
      </c>
      <c r="H131" s="97"/>
      <c r="I131" s="98">
        <f t="shared" ref="I131:M131" si="42">I133+I137+I145+I149+I158</f>
        <v>867313.31218000001</v>
      </c>
      <c r="J131" s="98">
        <f t="shared" si="42"/>
        <v>178298.45776000002</v>
      </c>
      <c r="K131" s="98">
        <f t="shared" si="42"/>
        <v>243732.65111999999</v>
      </c>
      <c r="L131" s="98">
        <f t="shared" si="42"/>
        <v>219184.48512</v>
      </c>
      <c r="M131" s="361">
        <f t="shared" si="42"/>
        <v>226097.71818</v>
      </c>
      <c r="N131" s="98">
        <f t="shared" ref="N131" si="43">N133+N137+N145+N149+N158</f>
        <v>0</v>
      </c>
    </row>
    <row r="132" spans="1:14" ht="13.5" thickBot="1" x14ac:dyDescent="0.25">
      <c r="A132" s="978"/>
      <c r="B132" s="1019"/>
      <c r="C132" s="306" t="s">
        <v>396</v>
      </c>
      <c r="D132" s="1033" t="s">
        <v>413</v>
      </c>
      <c r="E132" s="1034"/>
      <c r="F132" s="307">
        <v>641</v>
      </c>
      <c r="G132" s="308">
        <f t="shared" si="32"/>
        <v>87</v>
      </c>
      <c r="H132" s="308"/>
      <c r="I132" s="309">
        <f t="shared" ref="I132:M132" si="44">I133+I137</f>
        <v>719550</v>
      </c>
      <c r="J132" s="309">
        <f t="shared" si="44"/>
        <v>148142</v>
      </c>
      <c r="K132" s="309">
        <f t="shared" si="44"/>
        <v>203601</v>
      </c>
      <c r="L132" s="309">
        <f t="shared" si="44"/>
        <v>180627</v>
      </c>
      <c r="M132" s="364">
        <f t="shared" si="44"/>
        <v>187180</v>
      </c>
      <c r="N132" s="309">
        <f t="shared" ref="N132" si="45">N133+N137</f>
        <v>0</v>
      </c>
    </row>
    <row r="133" spans="1:14" ht="20.25" customHeight="1" thickBot="1" x14ac:dyDescent="0.25">
      <c r="A133" s="978"/>
      <c r="B133" s="1019"/>
      <c r="C133" s="293" t="s">
        <v>46</v>
      </c>
      <c r="D133" s="1026" t="s">
        <v>189</v>
      </c>
      <c r="E133" s="1028"/>
      <c r="F133" s="277">
        <v>641</v>
      </c>
      <c r="G133" s="97">
        <f t="shared" si="32"/>
        <v>88</v>
      </c>
      <c r="H133" s="97"/>
      <c r="I133" s="98">
        <f t="shared" ref="I133:M133" si="46">I134+I135+I136</f>
        <v>621187</v>
      </c>
      <c r="J133" s="98">
        <f t="shared" si="46"/>
        <v>132184</v>
      </c>
      <c r="K133" s="98">
        <f t="shared" si="46"/>
        <v>149408</v>
      </c>
      <c r="L133" s="98">
        <f t="shared" si="46"/>
        <v>169008</v>
      </c>
      <c r="M133" s="361">
        <f t="shared" si="46"/>
        <v>170587</v>
      </c>
      <c r="N133" s="98">
        <f t="shared" ref="N133" si="47">N134+N135+N136</f>
        <v>0</v>
      </c>
    </row>
    <row r="134" spans="1:14" ht="13.5" thickBot="1" x14ac:dyDescent="0.25">
      <c r="A134" s="978"/>
      <c r="B134" s="1019"/>
      <c r="C134" s="1018"/>
      <c r="D134" s="973" t="s">
        <v>190</v>
      </c>
      <c r="E134" s="974"/>
      <c r="F134" s="275">
        <v>641</v>
      </c>
      <c r="G134" s="84">
        <f t="shared" si="32"/>
        <v>89</v>
      </c>
      <c r="H134" s="84"/>
      <c r="I134" s="101">
        <f>SUM(J134:M134)</f>
        <v>520564</v>
      </c>
      <c r="J134" s="89">
        <v>127100</v>
      </c>
      <c r="K134" s="89">
        <v>130200</v>
      </c>
      <c r="L134" s="89">
        <v>130200</v>
      </c>
      <c r="M134" s="113">
        <v>133064</v>
      </c>
      <c r="N134" s="89"/>
    </row>
    <row r="135" spans="1:14" ht="24" customHeight="1" thickBot="1" x14ac:dyDescent="0.25">
      <c r="A135" s="978"/>
      <c r="B135" s="1019"/>
      <c r="C135" s="1019"/>
      <c r="D135" s="973" t="s">
        <v>191</v>
      </c>
      <c r="E135" s="974"/>
      <c r="F135" s="275"/>
      <c r="G135" s="84">
        <f t="shared" si="32"/>
        <v>90</v>
      </c>
      <c r="H135" s="84"/>
      <c r="I135" s="101">
        <f>SUM(J135:M135)</f>
        <v>20823</v>
      </c>
      <c r="J135" s="89">
        <v>5084</v>
      </c>
      <c r="K135" s="89">
        <v>5208</v>
      </c>
      <c r="L135" s="89">
        <v>5208</v>
      </c>
      <c r="M135" s="113">
        <v>5323</v>
      </c>
      <c r="N135" s="89"/>
    </row>
    <row r="136" spans="1:14" ht="13.5" thickBot="1" x14ac:dyDescent="0.25">
      <c r="A136" s="978"/>
      <c r="B136" s="1019"/>
      <c r="C136" s="1020"/>
      <c r="D136" s="973" t="s">
        <v>192</v>
      </c>
      <c r="E136" s="974"/>
      <c r="F136" s="275"/>
      <c r="G136" s="84">
        <f t="shared" si="32"/>
        <v>91</v>
      </c>
      <c r="H136" s="84"/>
      <c r="I136" s="101">
        <f>SUM(J136:M136)</f>
        <v>79800</v>
      </c>
      <c r="J136" s="89">
        <v>0</v>
      </c>
      <c r="K136" s="89">
        <v>14000</v>
      </c>
      <c r="L136" s="89">
        <v>33600</v>
      </c>
      <c r="M136" s="113">
        <v>32200</v>
      </c>
      <c r="N136" s="89"/>
    </row>
    <row r="137" spans="1:14" ht="17.25" customHeight="1" thickBot="1" x14ac:dyDescent="0.25">
      <c r="A137" s="978"/>
      <c r="B137" s="1019"/>
      <c r="C137" s="293" t="s">
        <v>67</v>
      </c>
      <c r="D137" s="1026" t="s">
        <v>389</v>
      </c>
      <c r="E137" s="1028"/>
      <c r="F137" s="277"/>
      <c r="G137" s="97">
        <f t="shared" si="32"/>
        <v>92</v>
      </c>
      <c r="H137" s="97"/>
      <c r="I137" s="98">
        <f t="shared" ref="I137:M137" si="48">I138+I141+I142+I143+I144</f>
        <v>98363</v>
      </c>
      <c r="J137" s="98">
        <f t="shared" si="48"/>
        <v>15958</v>
      </c>
      <c r="K137" s="98">
        <f t="shared" si="48"/>
        <v>54193</v>
      </c>
      <c r="L137" s="98">
        <f t="shared" si="48"/>
        <v>11619</v>
      </c>
      <c r="M137" s="361">
        <f t="shared" si="48"/>
        <v>16593</v>
      </c>
      <c r="N137" s="98">
        <f t="shared" ref="N137" si="49">N138+N141+N142+N143+N144</f>
        <v>0</v>
      </c>
    </row>
    <row r="138" spans="1:14" ht="33" customHeight="1" thickBot="1" x14ac:dyDescent="0.25">
      <c r="A138" s="978"/>
      <c r="B138" s="1019"/>
      <c r="C138" s="71"/>
      <c r="D138" s="973" t="s">
        <v>187</v>
      </c>
      <c r="E138" s="974"/>
      <c r="F138" s="275">
        <v>6458</v>
      </c>
      <c r="G138" s="84">
        <f t="shared" si="32"/>
        <v>93</v>
      </c>
      <c r="H138" s="84"/>
      <c r="I138" s="89">
        <f t="shared" ref="I138:I144" si="50">SUM(J138:M138)</f>
        <v>11500</v>
      </c>
      <c r="J138" s="89">
        <v>100</v>
      </c>
      <c r="K138" s="89">
        <v>11200</v>
      </c>
      <c r="L138" s="89">
        <v>100</v>
      </c>
      <c r="M138" s="113">
        <v>100</v>
      </c>
      <c r="N138" s="89"/>
    </row>
    <row r="139" spans="1:14" ht="13.5" thickBot="1" x14ac:dyDescent="0.25">
      <c r="A139" s="978"/>
      <c r="B139" s="1019"/>
      <c r="C139" s="71"/>
      <c r="D139" s="71"/>
      <c r="E139" s="71" t="s">
        <v>193</v>
      </c>
      <c r="F139" s="86"/>
      <c r="G139" s="84">
        <f t="shared" si="32"/>
        <v>94</v>
      </c>
      <c r="H139" s="84"/>
      <c r="I139" s="89">
        <f t="shared" si="50"/>
        <v>0</v>
      </c>
      <c r="J139" s="89"/>
      <c r="K139" s="89"/>
      <c r="L139" s="89"/>
      <c r="M139" s="113"/>
      <c r="N139" s="89"/>
    </row>
    <row r="140" spans="1:14" ht="23.25" thickBot="1" x14ac:dyDescent="0.25">
      <c r="A140" s="978"/>
      <c r="B140" s="1019"/>
      <c r="C140" s="71"/>
      <c r="D140" s="71"/>
      <c r="E140" s="71" t="s">
        <v>194</v>
      </c>
      <c r="F140" s="86" t="s">
        <v>648</v>
      </c>
      <c r="G140" s="84">
        <f t="shared" si="32"/>
        <v>95</v>
      </c>
      <c r="H140" s="84"/>
      <c r="I140" s="89">
        <f t="shared" si="50"/>
        <v>11200</v>
      </c>
      <c r="J140" s="89"/>
      <c r="K140" s="89">
        <v>11200</v>
      </c>
      <c r="L140" s="89"/>
      <c r="M140" s="113"/>
      <c r="N140" s="89"/>
    </row>
    <row r="141" spans="1:14" ht="13.5" thickBot="1" x14ac:dyDescent="0.25">
      <c r="A141" s="978"/>
      <c r="B141" s="1019"/>
      <c r="C141" s="71"/>
      <c r="D141" s="973" t="s">
        <v>74</v>
      </c>
      <c r="E141" s="974"/>
      <c r="F141" s="275" t="s">
        <v>649</v>
      </c>
      <c r="G141" s="84">
        <f t="shared" ref="G141:G175" si="51">G140+1</f>
        <v>96</v>
      </c>
      <c r="H141" s="84"/>
      <c r="I141" s="89">
        <f t="shared" si="50"/>
        <v>60363</v>
      </c>
      <c r="J141" s="89">
        <v>15858</v>
      </c>
      <c r="K141" s="89">
        <v>16493</v>
      </c>
      <c r="L141" s="89">
        <v>11519</v>
      </c>
      <c r="M141" s="113">
        <v>16493</v>
      </c>
      <c r="N141" s="89"/>
    </row>
    <row r="142" spans="1:14" ht="13.5" thickBot="1" x14ac:dyDescent="0.25">
      <c r="A142" s="978"/>
      <c r="B142" s="1019"/>
      <c r="C142" s="71"/>
      <c r="D142" s="973" t="s">
        <v>195</v>
      </c>
      <c r="E142" s="974"/>
      <c r="F142" s="275"/>
      <c r="G142" s="84">
        <f t="shared" si="51"/>
        <v>97</v>
      </c>
      <c r="H142" s="84"/>
      <c r="I142" s="89">
        <f t="shared" si="50"/>
        <v>0</v>
      </c>
      <c r="J142" s="89"/>
      <c r="K142" s="89"/>
      <c r="L142" s="89"/>
      <c r="M142" s="113"/>
      <c r="N142" s="89"/>
    </row>
    <row r="143" spans="1:14" ht="20.25" customHeight="1" thickBot="1" x14ac:dyDescent="0.25">
      <c r="A143" s="978"/>
      <c r="B143" s="1019"/>
      <c r="C143" s="71"/>
      <c r="D143" s="973" t="s">
        <v>390</v>
      </c>
      <c r="E143" s="974"/>
      <c r="F143" s="275">
        <v>643</v>
      </c>
      <c r="G143" s="84">
        <f t="shared" si="51"/>
        <v>98</v>
      </c>
      <c r="H143" s="84"/>
      <c r="I143" s="89">
        <f t="shared" si="50"/>
        <v>26500</v>
      </c>
      <c r="J143" s="89"/>
      <c r="K143" s="89">
        <v>26500</v>
      </c>
      <c r="L143" s="89"/>
      <c r="M143" s="113"/>
      <c r="N143" s="89"/>
    </row>
    <row r="144" spans="1:14" ht="13.5" thickBot="1" x14ac:dyDescent="0.25">
      <c r="A144" s="978"/>
      <c r="B144" s="1019"/>
      <c r="C144" s="71"/>
      <c r="D144" s="973" t="s">
        <v>196</v>
      </c>
      <c r="E144" s="974"/>
      <c r="F144" s="275"/>
      <c r="G144" s="84">
        <f t="shared" si="51"/>
        <v>99</v>
      </c>
      <c r="H144" s="84"/>
      <c r="I144" s="89">
        <f t="shared" si="50"/>
        <v>0</v>
      </c>
      <c r="J144" s="89"/>
      <c r="K144" s="89"/>
      <c r="L144" s="89"/>
      <c r="M144" s="113"/>
      <c r="N144" s="89"/>
    </row>
    <row r="145" spans="1:14" ht="22.5" customHeight="1" thickBot="1" x14ac:dyDescent="0.25">
      <c r="A145" s="978"/>
      <c r="B145" s="1019"/>
      <c r="C145" s="293" t="s">
        <v>124</v>
      </c>
      <c r="D145" s="1026" t="s">
        <v>197</v>
      </c>
      <c r="E145" s="1028"/>
      <c r="F145" s="277"/>
      <c r="G145" s="97">
        <f t="shared" si="51"/>
        <v>100</v>
      </c>
      <c r="H145" s="97"/>
      <c r="I145" s="98">
        <f t="shared" ref="I145:M145" si="52">I146+I147+I148</f>
        <v>0</v>
      </c>
      <c r="J145" s="98">
        <f t="shared" si="52"/>
        <v>0</v>
      </c>
      <c r="K145" s="98">
        <f t="shared" si="52"/>
        <v>0</v>
      </c>
      <c r="L145" s="98">
        <f t="shared" si="52"/>
        <v>0</v>
      </c>
      <c r="M145" s="361">
        <f t="shared" si="52"/>
        <v>0</v>
      </c>
      <c r="N145" s="98">
        <f t="shared" ref="N145" si="53">N146+N147+N148</f>
        <v>0</v>
      </c>
    </row>
    <row r="146" spans="1:14" ht="21.75" customHeight="1" thickBot="1" x14ac:dyDescent="0.25">
      <c r="A146" s="978"/>
      <c r="B146" s="1019"/>
      <c r="C146" s="71"/>
      <c r="D146" s="973" t="s">
        <v>198</v>
      </c>
      <c r="E146" s="974"/>
      <c r="F146" s="275" t="s">
        <v>22</v>
      </c>
      <c r="G146" s="84">
        <f t="shared" si="51"/>
        <v>101</v>
      </c>
      <c r="H146" s="84"/>
      <c r="I146" s="89">
        <f>SUM(J146:M146)</f>
        <v>0</v>
      </c>
      <c r="J146" s="89">
        <v>0</v>
      </c>
      <c r="K146" s="89">
        <v>0</v>
      </c>
      <c r="L146" s="89">
        <v>0</v>
      </c>
      <c r="M146" s="113">
        <v>0</v>
      </c>
      <c r="N146" s="89">
        <v>0</v>
      </c>
    </row>
    <row r="147" spans="1:14" ht="23.25" customHeight="1" thickBot="1" x14ac:dyDescent="0.25">
      <c r="A147" s="978"/>
      <c r="B147" s="1019"/>
      <c r="C147" s="71"/>
      <c r="D147" s="973" t="s">
        <v>199</v>
      </c>
      <c r="E147" s="974"/>
      <c r="F147" s="275" t="s">
        <v>22</v>
      </c>
      <c r="G147" s="84">
        <f t="shared" si="51"/>
        <v>102</v>
      </c>
      <c r="H147" s="84"/>
      <c r="I147" s="89">
        <f>SUM(J147:M147)</f>
        <v>0</v>
      </c>
      <c r="J147" s="89">
        <v>0</v>
      </c>
      <c r="K147" s="89">
        <v>0</v>
      </c>
      <c r="L147" s="89">
        <v>0</v>
      </c>
      <c r="M147" s="113">
        <v>0</v>
      </c>
      <c r="N147" s="89">
        <v>0</v>
      </c>
    </row>
    <row r="148" spans="1:14" ht="21" customHeight="1" thickBot="1" x14ac:dyDescent="0.25">
      <c r="A148" s="978"/>
      <c r="B148" s="1019"/>
      <c r="C148" s="71"/>
      <c r="D148" s="973" t="s">
        <v>200</v>
      </c>
      <c r="E148" s="974"/>
      <c r="F148" s="275" t="s">
        <v>22</v>
      </c>
      <c r="G148" s="84">
        <f t="shared" si="51"/>
        <v>103</v>
      </c>
      <c r="H148" s="84"/>
      <c r="I148" s="89">
        <f>SUM(J148:M148)</f>
        <v>0</v>
      </c>
      <c r="J148" s="89">
        <v>0</v>
      </c>
      <c r="K148" s="89">
        <v>0</v>
      </c>
      <c r="L148" s="89">
        <v>0</v>
      </c>
      <c r="M148" s="113">
        <v>0</v>
      </c>
      <c r="N148" s="89">
        <v>0</v>
      </c>
    </row>
    <row r="149" spans="1:14" ht="22.5" customHeight="1" thickBot="1" x14ac:dyDescent="0.25">
      <c r="A149" s="978"/>
      <c r="B149" s="1019"/>
      <c r="C149" s="293" t="s">
        <v>63</v>
      </c>
      <c r="D149" s="986" t="s">
        <v>75</v>
      </c>
      <c r="E149" s="988"/>
      <c r="F149" s="276"/>
      <c r="G149" s="97">
        <f t="shared" si="51"/>
        <v>104</v>
      </c>
      <c r="H149" s="97"/>
      <c r="I149" s="100">
        <f t="shared" ref="I149:M149" si="54">I150+I153+I156+I157</f>
        <v>0</v>
      </c>
      <c r="J149" s="100">
        <f>J150+J153+J156+J157</f>
        <v>0</v>
      </c>
      <c r="K149" s="100">
        <f>K150+K153+K156+K157</f>
        <v>0</v>
      </c>
      <c r="L149" s="100">
        <f t="shared" si="54"/>
        <v>0</v>
      </c>
      <c r="M149" s="362">
        <f t="shared" si="54"/>
        <v>0</v>
      </c>
      <c r="N149" s="100">
        <f t="shared" ref="N149" si="55">N150+N153+N156+N157</f>
        <v>0</v>
      </c>
    </row>
    <row r="150" spans="1:14" ht="13.5" thickBot="1" x14ac:dyDescent="0.25">
      <c r="A150" s="978"/>
      <c r="B150" s="1019"/>
      <c r="C150" s="1018"/>
      <c r="D150" s="973" t="s">
        <v>282</v>
      </c>
      <c r="E150" s="974"/>
      <c r="F150" s="275" t="s">
        <v>650</v>
      </c>
      <c r="G150" s="84">
        <f t="shared" si="51"/>
        <v>105</v>
      </c>
      <c r="H150" s="84"/>
      <c r="I150" s="250">
        <f t="shared" ref="I150:I155" si="56">SUM(J150:M150)</f>
        <v>0</v>
      </c>
      <c r="J150" s="250">
        <f>SUM(J151:J152)</f>
        <v>0</v>
      </c>
      <c r="K150" s="250">
        <f>SUM(K151:K152)</f>
        <v>0</v>
      </c>
      <c r="L150" s="250">
        <f>SUM(L151:L152)</f>
        <v>0</v>
      </c>
      <c r="M150" s="365">
        <f>SUM(M151:M152)</f>
        <v>0</v>
      </c>
      <c r="N150" s="250">
        <f>SUM(N151:N152)</f>
        <v>0</v>
      </c>
    </row>
    <row r="151" spans="1:14" ht="13.5" thickBot="1" x14ac:dyDescent="0.25">
      <c r="A151" s="978"/>
      <c r="B151" s="1019"/>
      <c r="C151" s="1019"/>
      <c r="D151" s="306"/>
      <c r="E151" s="310" t="s">
        <v>414</v>
      </c>
      <c r="F151" s="311"/>
      <c r="G151" s="308">
        <f t="shared" si="51"/>
        <v>106</v>
      </c>
      <c r="H151" s="308"/>
      <c r="I151" s="312">
        <f t="shared" si="56"/>
        <v>0</v>
      </c>
      <c r="J151" s="312"/>
      <c r="K151" s="312"/>
      <c r="L151" s="312"/>
      <c r="M151" s="366"/>
      <c r="N151" s="312"/>
    </row>
    <row r="152" spans="1:14" ht="13.5" thickBot="1" x14ac:dyDescent="0.25">
      <c r="A152" s="978"/>
      <c r="B152" s="1019"/>
      <c r="C152" s="1019"/>
      <c r="D152" s="306"/>
      <c r="E152" s="310" t="s">
        <v>415</v>
      </c>
      <c r="F152" s="311"/>
      <c r="G152" s="308">
        <f t="shared" si="51"/>
        <v>107</v>
      </c>
      <c r="H152" s="308"/>
      <c r="I152" s="312">
        <f t="shared" si="56"/>
        <v>0</v>
      </c>
      <c r="J152" s="312"/>
      <c r="K152" s="312"/>
      <c r="L152" s="312"/>
      <c r="M152" s="366"/>
      <c r="N152" s="312"/>
    </row>
    <row r="153" spans="1:14" ht="19.5" customHeight="1" thickBot="1" x14ac:dyDescent="0.25">
      <c r="A153" s="978"/>
      <c r="B153" s="1019"/>
      <c r="C153" s="1019"/>
      <c r="D153" s="973" t="s">
        <v>201</v>
      </c>
      <c r="E153" s="974"/>
      <c r="F153" s="275" t="s">
        <v>651</v>
      </c>
      <c r="G153" s="84">
        <f t="shared" si="51"/>
        <v>108</v>
      </c>
      <c r="H153" s="84"/>
      <c r="I153" s="250">
        <f t="shared" si="56"/>
        <v>0</v>
      </c>
      <c r="J153" s="250">
        <f>SUM(J154:J155)</f>
        <v>0</v>
      </c>
      <c r="K153" s="250">
        <f>SUM(K154:K155)</f>
        <v>0</v>
      </c>
      <c r="L153" s="250">
        <f>SUM(L154:L155)</f>
        <v>0</v>
      </c>
      <c r="M153" s="365">
        <f>SUM(M154:M155)</f>
        <v>0</v>
      </c>
      <c r="N153" s="250">
        <f>SUM(N154:N155)</f>
        <v>0</v>
      </c>
    </row>
    <row r="154" spans="1:14" ht="13.5" thickBot="1" x14ac:dyDescent="0.25">
      <c r="A154" s="978"/>
      <c r="B154" s="1019"/>
      <c r="C154" s="1019"/>
      <c r="D154" s="313"/>
      <c r="E154" s="310" t="s">
        <v>414</v>
      </c>
      <c r="F154" s="311"/>
      <c r="G154" s="308">
        <f t="shared" si="51"/>
        <v>109</v>
      </c>
      <c r="H154" s="308"/>
      <c r="I154" s="125">
        <f t="shared" si="56"/>
        <v>0</v>
      </c>
      <c r="J154" s="125"/>
      <c r="K154" s="125"/>
      <c r="L154" s="125"/>
      <c r="M154" s="367"/>
      <c r="N154" s="125"/>
    </row>
    <row r="155" spans="1:14" ht="13.5" thickBot="1" x14ac:dyDescent="0.25">
      <c r="A155" s="978"/>
      <c r="B155" s="1019"/>
      <c r="C155" s="1019"/>
      <c r="D155" s="313"/>
      <c r="E155" s="310" t="s">
        <v>415</v>
      </c>
      <c r="F155" s="311"/>
      <c r="G155" s="308">
        <f t="shared" si="51"/>
        <v>110</v>
      </c>
      <c r="H155" s="308"/>
      <c r="I155" s="125">
        <f t="shared" si="56"/>
        <v>0</v>
      </c>
      <c r="J155" s="125"/>
      <c r="K155" s="125"/>
      <c r="L155" s="125"/>
      <c r="M155" s="367"/>
      <c r="N155" s="125"/>
    </row>
    <row r="156" spans="1:14" ht="13.5" thickBot="1" x14ac:dyDescent="0.25">
      <c r="A156" s="978"/>
      <c r="B156" s="1019"/>
      <c r="C156" s="1020"/>
      <c r="D156" s="973" t="s">
        <v>202</v>
      </c>
      <c r="E156" s="974"/>
      <c r="F156" s="275" t="s">
        <v>652</v>
      </c>
      <c r="G156" s="84">
        <f t="shared" si="51"/>
        <v>111</v>
      </c>
      <c r="H156" s="84"/>
      <c r="I156" s="250">
        <f t="shared" ref="I156:I164" si="57">SUM(J156:M156)</f>
        <v>0</v>
      </c>
      <c r="J156" s="250"/>
      <c r="K156" s="250"/>
      <c r="L156" s="250"/>
      <c r="M156" s="365"/>
      <c r="N156" s="250"/>
    </row>
    <row r="157" spans="1:14" ht="13.5" thickBot="1" x14ac:dyDescent="0.25">
      <c r="A157" s="978"/>
      <c r="B157" s="1019"/>
      <c r="C157" s="71"/>
      <c r="D157" s="973" t="s">
        <v>203</v>
      </c>
      <c r="E157" s="974"/>
      <c r="F157" s="275"/>
      <c r="G157" s="84">
        <f t="shared" si="51"/>
        <v>112</v>
      </c>
      <c r="H157" s="84"/>
      <c r="I157" s="89">
        <f t="shared" si="57"/>
        <v>0</v>
      </c>
      <c r="J157" s="89">
        <v>0</v>
      </c>
      <c r="K157" s="89">
        <v>0</v>
      </c>
      <c r="L157" s="89">
        <v>0</v>
      </c>
      <c r="M157" s="113">
        <v>0</v>
      </c>
      <c r="N157" s="89">
        <v>0</v>
      </c>
    </row>
    <row r="158" spans="1:14" ht="21" customHeight="1" thickBot="1" x14ac:dyDescent="0.25">
      <c r="A158" s="978"/>
      <c r="B158" s="1019"/>
      <c r="C158" s="293" t="s">
        <v>68</v>
      </c>
      <c r="D158" s="986" t="s">
        <v>204</v>
      </c>
      <c r="E158" s="988"/>
      <c r="F158" s="276"/>
      <c r="G158" s="97">
        <f t="shared" si="51"/>
        <v>113</v>
      </c>
      <c r="H158" s="409">
        <f>SUM(H159:H161)</f>
        <v>0.22814000000000001</v>
      </c>
      <c r="I158" s="100">
        <f t="shared" si="57"/>
        <v>147763.31218000001</v>
      </c>
      <c r="J158" s="100">
        <f>SUM(J159:J164)</f>
        <v>30156.457760000005</v>
      </c>
      <c r="K158" s="100">
        <f>SUM(K159:K164)</f>
        <v>40131.651120000002</v>
      </c>
      <c r="L158" s="100">
        <f>SUM(L159:L164)</f>
        <v>38557.485119999998</v>
      </c>
      <c r="M158" s="362">
        <f>SUM(M159:M164)</f>
        <v>38917.718180000003</v>
      </c>
      <c r="N158" s="100">
        <f>SUM(N159:N164)</f>
        <v>0</v>
      </c>
    </row>
    <row r="159" spans="1:14" ht="13.5" thickBot="1" x14ac:dyDescent="0.25">
      <c r="A159" s="978"/>
      <c r="B159" s="1019"/>
      <c r="C159" s="314"/>
      <c r="D159" s="973" t="s">
        <v>205</v>
      </c>
      <c r="E159" s="974"/>
      <c r="F159" s="275">
        <v>645</v>
      </c>
      <c r="G159" s="84">
        <f t="shared" si="51"/>
        <v>114</v>
      </c>
      <c r="H159" s="410">
        <f>(15.8+0.214)%</f>
        <v>0.16014</v>
      </c>
      <c r="I159" s="101">
        <f t="shared" si="57"/>
        <v>103720.59618000001</v>
      </c>
      <c r="J159" s="405">
        <f>(J133+J143+J149)*$H$159</f>
        <v>21167.945760000002</v>
      </c>
      <c r="K159" s="405">
        <f>(K133+K143+K149)*$H$159</f>
        <v>28169.90712</v>
      </c>
      <c r="L159" s="405">
        <f>(L133+L143+L149)*$H$159</f>
        <v>27064.94112</v>
      </c>
      <c r="M159" s="405">
        <f>(M133+M143+M149)*$H$159</f>
        <v>27317.802180000002</v>
      </c>
      <c r="N159" s="89"/>
    </row>
    <row r="160" spans="1:14" ht="13.5" thickBot="1" x14ac:dyDescent="0.25">
      <c r="A160" s="978"/>
      <c r="B160" s="1019"/>
      <c r="C160" s="315"/>
      <c r="D160" s="973" t="s">
        <v>206</v>
      </c>
      <c r="E160" s="974"/>
      <c r="F160" s="275">
        <v>6452</v>
      </c>
      <c r="G160" s="84">
        <f t="shared" si="51"/>
        <v>115</v>
      </c>
      <c r="H160" s="410">
        <v>7.4999999999999997E-3</v>
      </c>
      <c r="I160" s="101">
        <f t="shared" si="57"/>
        <v>4857.6525000000001</v>
      </c>
      <c r="J160" s="405">
        <f>(J133+J143+J149)*$H$160</f>
        <v>991.38</v>
      </c>
      <c r="K160" s="405">
        <f>(K133+K143+K149)*$H$160</f>
        <v>1319.31</v>
      </c>
      <c r="L160" s="405">
        <f>(L133+L143+L149)*$H$160</f>
        <v>1267.56</v>
      </c>
      <c r="M160" s="405">
        <f>(M133+M143+M149)*$H$160</f>
        <v>1279.4024999999999</v>
      </c>
      <c r="N160" s="89"/>
    </row>
    <row r="161" spans="1:14" ht="13.5" thickBot="1" x14ac:dyDescent="0.25">
      <c r="A161" s="978"/>
      <c r="B161" s="1019"/>
      <c r="C161" s="315"/>
      <c r="D161" s="973" t="s">
        <v>207</v>
      </c>
      <c r="E161" s="974"/>
      <c r="F161" s="275">
        <v>6453</v>
      </c>
      <c r="G161" s="84">
        <f t="shared" si="51"/>
        <v>116</v>
      </c>
      <c r="H161" s="410">
        <v>6.0499999999999998E-2</v>
      </c>
      <c r="I161" s="101">
        <f t="shared" si="57"/>
        <v>39185.063499999997</v>
      </c>
      <c r="J161" s="405">
        <f>(J133+J143+J149)*$H$161</f>
        <v>7997.1319999999996</v>
      </c>
      <c r="K161" s="405">
        <f>(K133+K143+K149)*$H$161</f>
        <v>10642.433999999999</v>
      </c>
      <c r="L161" s="405">
        <f>(L133+L143+L149)*$H$161</f>
        <v>10224.984</v>
      </c>
      <c r="M161" s="405">
        <f>(M133+M143+M149)*$H$161</f>
        <v>10320.513499999999</v>
      </c>
      <c r="N161" s="89"/>
    </row>
    <row r="162" spans="1:14" ht="21" customHeight="1" thickBot="1" x14ac:dyDescent="0.25">
      <c r="A162" s="978"/>
      <c r="B162" s="1019"/>
      <c r="C162" s="315"/>
      <c r="D162" s="973" t="s">
        <v>208</v>
      </c>
      <c r="E162" s="974"/>
      <c r="F162" s="275"/>
      <c r="G162" s="84">
        <f t="shared" si="51"/>
        <v>117</v>
      </c>
      <c r="H162" s="84"/>
      <c r="I162" s="101">
        <f t="shared" si="57"/>
        <v>0</v>
      </c>
      <c r="J162" s="89"/>
      <c r="K162" s="89"/>
      <c r="L162" s="89"/>
      <c r="M162" s="113"/>
      <c r="N162" s="89"/>
    </row>
    <row r="163" spans="1:14" ht="13.5" thickBot="1" x14ac:dyDescent="0.25">
      <c r="A163" s="978"/>
      <c r="B163" s="1019"/>
      <c r="C163" s="315"/>
      <c r="D163" s="973" t="s">
        <v>209</v>
      </c>
      <c r="E163" s="974"/>
      <c r="F163" s="275"/>
      <c r="G163" s="84">
        <f t="shared" si="51"/>
        <v>118</v>
      </c>
      <c r="H163" s="84"/>
      <c r="I163" s="101">
        <f t="shared" si="57"/>
        <v>0</v>
      </c>
      <c r="J163" s="89"/>
      <c r="K163" s="89"/>
      <c r="L163" s="89"/>
      <c r="M163" s="113"/>
      <c r="N163" s="89"/>
    </row>
    <row r="164" spans="1:14" ht="13.5" thickBot="1" x14ac:dyDescent="0.25">
      <c r="A164" s="978"/>
      <c r="B164" s="1019"/>
      <c r="C164" s="298"/>
      <c r="D164" s="973" t="s">
        <v>210</v>
      </c>
      <c r="E164" s="974"/>
      <c r="F164" s="275"/>
      <c r="G164" s="84">
        <f t="shared" si="51"/>
        <v>119</v>
      </c>
      <c r="H164" s="84"/>
      <c r="I164" s="101">
        <f t="shared" si="57"/>
        <v>0</v>
      </c>
      <c r="J164" s="89"/>
      <c r="K164" s="89"/>
      <c r="L164" s="89"/>
      <c r="M164" s="113"/>
      <c r="N164" s="89"/>
    </row>
    <row r="165" spans="1:14" ht="22.5" customHeight="1" thickBot="1" x14ac:dyDescent="0.25">
      <c r="A165" s="978"/>
      <c r="B165" s="1019"/>
      <c r="C165" s="986" t="s">
        <v>469</v>
      </c>
      <c r="D165" s="987"/>
      <c r="E165" s="988"/>
      <c r="F165" s="276"/>
      <c r="G165" s="97">
        <f t="shared" si="51"/>
        <v>120</v>
      </c>
      <c r="H165" s="97"/>
      <c r="I165" s="100">
        <f t="shared" ref="I165:M165" si="58">I166+I169+I170+I171+I172+I173</f>
        <v>94181.61</v>
      </c>
      <c r="J165" s="100">
        <f t="shared" si="58"/>
        <v>27189.399999999998</v>
      </c>
      <c r="K165" s="100">
        <f t="shared" si="58"/>
        <v>22539.08</v>
      </c>
      <c r="L165" s="100">
        <f t="shared" si="58"/>
        <v>21397.13</v>
      </c>
      <c r="M165" s="362">
        <f t="shared" si="58"/>
        <v>23056</v>
      </c>
      <c r="N165" s="100">
        <f t="shared" ref="N165" si="59">N166+N169+N170+N171+N172+N173</f>
        <v>0</v>
      </c>
    </row>
    <row r="166" spans="1:14" ht="13.5" thickBot="1" x14ac:dyDescent="0.25">
      <c r="A166" s="978"/>
      <c r="B166" s="1019"/>
      <c r="C166" s="71" t="s">
        <v>27</v>
      </c>
      <c r="D166" s="973" t="s">
        <v>470</v>
      </c>
      <c r="E166" s="974"/>
      <c r="F166" s="275"/>
      <c r="G166" s="84">
        <f t="shared" si="51"/>
        <v>121</v>
      </c>
      <c r="H166" s="84"/>
      <c r="I166" s="89">
        <f t="shared" ref="I166:M166" si="60">SUM(I167:I168)</f>
        <v>23655.53</v>
      </c>
      <c r="J166" s="89">
        <f>SUM(J167:J168)</f>
        <v>10775.34</v>
      </c>
      <c r="K166" s="89">
        <f t="shared" si="60"/>
        <v>4470.67</v>
      </c>
      <c r="L166" s="89">
        <f t="shared" si="60"/>
        <v>3375.52</v>
      </c>
      <c r="M166" s="113">
        <f t="shared" si="60"/>
        <v>5034</v>
      </c>
      <c r="N166" s="89">
        <f t="shared" ref="N166" si="61">SUM(N167:N168)</f>
        <v>0</v>
      </c>
    </row>
    <row r="167" spans="1:14" ht="13.5" thickBot="1" x14ac:dyDescent="0.25">
      <c r="A167" s="978"/>
      <c r="B167" s="1019"/>
      <c r="C167" s="71"/>
      <c r="D167" s="973" t="s">
        <v>211</v>
      </c>
      <c r="E167" s="974"/>
      <c r="F167" s="275">
        <v>6581</v>
      </c>
      <c r="G167" s="84">
        <f t="shared" si="51"/>
        <v>122</v>
      </c>
      <c r="H167" s="84"/>
      <c r="I167" s="89">
        <f t="shared" ref="I167:I172" si="62">SUM(J167:M167)</f>
        <v>0</v>
      </c>
      <c r="J167" s="89"/>
      <c r="K167" s="89"/>
      <c r="L167" s="89"/>
      <c r="M167" s="113"/>
      <c r="N167" s="89"/>
    </row>
    <row r="168" spans="1:14" ht="13.5" thickBot="1" x14ac:dyDescent="0.25">
      <c r="A168" s="978"/>
      <c r="B168" s="1019"/>
      <c r="C168" s="71"/>
      <c r="D168" s="973" t="s">
        <v>212</v>
      </c>
      <c r="E168" s="974"/>
      <c r="F168" s="275" t="s">
        <v>653</v>
      </c>
      <c r="G168" s="84">
        <f t="shared" si="51"/>
        <v>123</v>
      </c>
      <c r="H168" s="84"/>
      <c r="I168" s="89">
        <f t="shared" si="62"/>
        <v>23655.53</v>
      </c>
      <c r="J168" s="89">
        <v>10775.34</v>
      </c>
      <c r="K168" s="89">
        <v>4470.67</v>
      </c>
      <c r="L168" s="89">
        <v>3375.52</v>
      </c>
      <c r="M168" s="113">
        <v>5034</v>
      </c>
      <c r="N168" s="89"/>
    </row>
    <row r="169" spans="1:14" ht="13.5" thickBot="1" x14ac:dyDescent="0.25">
      <c r="A169" s="979"/>
      <c r="B169" s="1020"/>
      <c r="C169" s="71" t="s">
        <v>38</v>
      </c>
      <c r="D169" s="973" t="s">
        <v>213</v>
      </c>
      <c r="E169" s="974"/>
      <c r="F169" s="275">
        <v>653</v>
      </c>
      <c r="G169" s="84">
        <f t="shared" si="51"/>
        <v>124</v>
      </c>
      <c r="H169" s="84"/>
      <c r="I169" s="89">
        <f t="shared" si="62"/>
        <v>0</v>
      </c>
      <c r="J169" s="89"/>
      <c r="K169" s="89"/>
      <c r="L169" s="89"/>
      <c r="M169" s="113"/>
      <c r="N169" s="89"/>
    </row>
    <row r="170" spans="1:14" ht="13.5" thickBot="1" x14ac:dyDescent="0.25">
      <c r="A170" s="977"/>
      <c r="B170" s="1018"/>
      <c r="C170" s="71" t="s">
        <v>40</v>
      </c>
      <c r="D170" s="973" t="s">
        <v>287</v>
      </c>
      <c r="E170" s="974"/>
      <c r="F170" s="275"/>
      <c r="G170" s="84">
        <f t="shared" si="51"/>
        <v>125</v>
      </c>
      <c r="H170" s="84"/>
      <c r="I170" s="89">
        <f t="shared" si="62"/>
        <v>0</v>
      </c>
      <c r="J170" s="89"/>
      <c r="K170" s="89"/>
      <c r="L170" s="89"/>
      <c r="M170" s="113"/>
      <c r="N170" s="89"/>
    </row>
    <row r="171" spans="1:14" ht="13.5" thickBot="1" x14ac:dyDescent="0.25">
      <c r="A171" s="978"/>
      <c r="B171" s="1019"/>
      <c r="C171" s="71" t="s">
        <v>42</v>
      </c>
      <c r="D171" s="973" t="s">
        <v>149</v>
      </c>
      <c r="E171" s="974"/>
      <c r="F171" s="275">
        <v>658</v>
      </c>
      <c r="G171" s="84">
        <f t="shared" si="51"/>
        <v>126</v>
      </c>
      <c r="H171" s="84"/>
      <c r="I171" s="89">
        <f t="shared" si="62"/>
        <v>0.49</v>
      </c>
      <c r="J171" s="89">
        <v>0.49</v>
      </c>
      <c r="K171" s="89"/>
      <c r="L171" s="89"/>
      <c r="M171" s="113"/>
      <c r="N171" s="89"/>
    </row>
    <row r="172" spans="1:14" ht="13.5" thickBot="1" x14ac:dyDescent="0.25">
      <c r="A172" s="978"/>
      <c r="B172" s="1019"/>
      <c r="C172" s="71" t="s">
        <v>28</v>
      </c>
      <c r="D172" s="973" t="s">
        <v>288</v>
      </c>
      <c r="E172" s="974"/>
      <c r="F172" s="275">
        <v>681</v>
      </c>
      <c r="G172" s="84">
        <f t="shared" si="51"/>
        <v>127</v>
      </c>
      <c r="H172" s="84"/>
      <c r="I172" s="89">
        <f t="shared" si="62"/>
        <v>74003.19</v>
      </c>
      <c r="J172" s="89">
        <v>18500.73</v>
      </c>
      <c r="K172" s="89">
        <v>18500.73</v>
      </c>
      <c r="L172" s="89">
        <v>18500.73</v>
      </c>
      <c r="M172" s="113">
        <v>18501</v>
      </c>
      <c r="N172" s="89"/>
    </row>
    <row r="173" spans="1:14" ht="23.25" customHeight="1" thickBot="1" x14ac:dyDescent="0.25">
      <c r="A173" s="978"/>
      <c r="B173" s="1020"/>
      <c r="C173" s="71" t="s">
        <v>34</v>
      </c>
      <c r="D173" s="973" t="s">
        <v>345</v>
      </c>
      <c r="E173" s="974"/>
      <c r="F173" s="275"/>
      <c r="G173" s="84">
        <f t="shared" si="51"/>
        <v>128</v>
      </c>
      <c r="H173" s="84"/>
      <c r="I173" s="89">
        <f t="shared" ref="I173:M173" si="63">I174-I177</f>
        <v>-3477.6</v>
      </c>
      <c r="J173" s="89">
        <f t="shared" si="63"/>
        <v>-2087.16</v>
      </c>
      <c r="K173" s="89">
        <f t="shared" si="63"/>
        <v>-432.32</v>
      </c>
      <c r="L173" s="89">
        <f t="shared" si="63"/>
        <v>-479.12</v>
      </c>
      <c r="M173" s="113">
        <f t="shared" si="63"/>
        <v>-479</v>
      </c>
      <c r="N173" s="89">
        <f t="shared" ref="N173" si="64">N174-N177</f>
        <v>0</v>
      </c>
    </row>
    <row r="174" spans="1:14" ht="13.5" thickBot="1" x14ac:dyDescent="0.25">
      <c r="A174" s="978"/>
      <c r="B174" s="71"/>
      <c r="C174" s="71"/>
      <c r="D174" s="71" t="s">
        <v>51</v>
      </c>
      <c r="E174" s="71" t="s">
        <v>460</v>
      </c>
      <c r="F174" s="86">
        <v>6814</v>
      </c>
      <c r="G174" s="84">
        <f t="shared" si="51"/>
        <v>129</v>
      </c>
      <c r="H174" s="84"/>
      <c r="I174" s="89">
        <f>SUM(J174:M174)</f>
        <v>0</v>
      </c>
      <c r="J174" s="89"/>
      <c r="K174" s="89"/>
      <c r="L174" s="89"/>
      <c r="M174" s="113"/>
      <c r="N174" s="89"/>
    </row>
    <row r="175" spans="1:14" ht="13.5" thickBot="1" x14ac:dyDescent="0.25">
      <c r="A175" s="978"/>
      <c r="B175" s="71"/>
      <c r="C175" s="71"/>
      <c r="D175" s="306" t="s">
        <v>416</v>
      </c>
      <c r="E175" s="310" t="s">
        <v>417</v>
      </c>
      <c r="F175" s="311" t="s">
        <v>654</v>
      </c>
      <c r="G175" s="84">
        <f t="shared" si="51"/>
        <v>130</v>
      </c>
      <c r="H175" s="84"/>
      <c r="I175" s="89">
        <f>SUM(J175:M175)</f>
        <v>0</v>
      </c>
      <c r="J175" s="89"/>
      <c r="K175" s="89"/>
      <c r="L175" s="89"/>
      <c r="M175" s="113"/>
      <c r="N175" s="89"/>
    </row>
    <row r="176" spans="1:14" ht="13.5" thickBot="1" x14ac:dyDescent="0.25">
      <c r="A176" s="978"/>
      <c r="B176" s="71"/>
      <c r="C176" s="71"/>
      <c r="D176" s="306" t="s">
        <v>418</v>
      </c>
      <c r="E176" s="316" t="s">
        <v>419</v>
      </c>
      <c r="F176" s="317"/>
      <c r="G176" s="121" t="s">
        <v>420</v>
      </c>
      <c r="H176" s="408"/>
      <c r="I176" s="89"/>
      <c r="J176" s="89"/>
      <c r="K176" s="89"/>
      <c r="L176" s="89"/>
      <c r="M176" s="113"/>
      <c r="N176" s="89"/>
    </row>
    <row r="177" spans="1:14" ht="23.25" thickBot="1" x14ac:dyDescent="0.25">
      <c r="A177" s="978"/>
      <c r="B177" s="71"/>
      <c r="C177" s="71"/>
      <c r="D177" s="318" t="s">
        <v>52</v>
      </c>
      <c r="E177" s="71" t="s">
        <v>346</v>
      </c>
      <c r="F177" s="86">
        <v>781</v>
      </c>
      <c r="G177" s="84">
        <v>131</v>
      </c>
      <c r="H177" s="84"/>
      <c r="I177" s="89">
        <f t="shared" ref="I177:M177" si="65">I178</f>
        <v>3477.6</v>
      </c>
      <c r="J177" s="89">
        <f t="shared" si="65"/>
        <v>2087.16</v>
      </c>
      <c r="K177" s="89">
        <f>K178</f>
        <v>432.32</v>
      </c>
      <c r="L177" s="89">
        <f t="shared" si="65"/>
        <v>479.12</v>
      </c>
      <c r="M177" s="113">
        <f t="shared" si="65"/>
        <v>479</v>
      </c>
      <c r="N177" s="89">
        <f t="shared" ref="N177" si="66">N178</f>
        <v>0</v>
      </c>
    </row>
    <row r="178" spans="1:14" ht="13.5" thickBot="1" x14ac:dyDescent="0.25">
      <c r="A178" s="978"/>
      <c r="B178" s="71"/>
      <c r="C178" s="71"/>
      <c r="D178" s="318" t="s">
        <v>65</v>
      </c>
      <c r="E178" s="71" t="s">
        <v>459</v>
      </c>
      <c r="F178" s="86">
        <v>7814</v>
      </c>
      <c r="G178" s="84">
        <f t="shared" ref="G178:G194" si="67">G177+1</f>
        <v>132</v>
      </c>
      <c r="H178" s="84"/>
      <c r="I178" s="89">
        <f t="shared" ref="I178:M178" si="68">I179+I180+I181</f>
        <v>3477.6</v>
      </c>
      <c r="J178" s="89">
        <f t="shared" si="68"/>
        <v>2087.16</v>
      </c>
      <c r="K178" s="89">
        <f>K179+K180+K181</f>
        <v>432.32</v>
      </c>
      <c r="L178" s="89">
        <f t="shared" si="68"/>
        <v>479.12</v>
      </c>
      <c r="M178" s="113">
        <f t="shared" si="68"/>
        <v>479</v>
      </c>
      <c r="N178" s="89">
        <f t="shared" ref="N178" si="69">N179+N180+N181</f>
        <v>0</v>
      </c>
    </row>
    <row r="179" spans="1:14" ht="13.5" thickBot="1" x14ac:dyDescent="0.25">
      <c r="A179" s="978"/>
      <c r="B179" s="71"/>
      <c r="C179" s="71"/>
      <c r="D179" s="71"/>
      <c r="E179" s="71" t="s">
        <v>426</v>
      </c>
      <c r="F179" s="86">
        <v>7812</v>
      </c>
      <c r="G179" s="84">
        <f t="shared" si="67"/>
        <v>133</v>
      </c>
      <c r="H179" s="84"/>
      <c r="I179" s="89">
        <f>SUM(J179:M179)</f>
        <v>0</v>
      </c>
      <c r="J179" s="89"/>
      <c r="K179" s="89"/>
      <c r="L179" s="89"/>
      <c r="M179" s="113"/>
      <c r="N179" s="89"/>
    </row>
    <row r="180" spans="1:14" ht="13.5" thickBot="1" x14ac:dyDescent="0.25">
      <c r="A180" s="978"/>
      <c r="B180" s="71"/>
      <c r="C180" s="71"/>
      <c r="D180" s="71"/>
      <c r="E180" s="71" t="s">
        <v>347</v>
      </c>
      <c r="F180" s="86"/>
      <c r="G180" s="84">
        <f t="shared" si="67"/>
        <v>134</v>
      </c>
      <c r="H180" s="84"/>
      <c r="I180" s="89">
        <f>SUM(J180:M180)</f>
        <v>0</v>
      </c>
      <c r="J180" s="89"/>
      <c r="K180" s="89"/>
      <c r="L180" s="89"/>
      <c r="M180" s="113"/>
      <c r="N180" s="89"/>
    </row>
    <row r="181" spans="1:14" ht="13.5" thickBot="1" x14ac:dyDescent="0.25">
      <c r="A181" s="978"/>
      <c r="B181" s="71"/>
      <c r="C181" s="71"/>
      <c r="D181" s="71"/>
      <c r="E181" s="71" t="s">
        <v>348</v>
      </c>
      <c r="F181" s="86"/>
      <c r="G181" s="84">
        <f t="shared" si="67"/>
        <v>135</v>
      </c>
      <c r="H181" s="84"/>
      <c r="I181" s="89">
        <f>SUM(J181:M181)</f>
        <v>3477.6</v>
      </c>
      <c r="J181" s="93">
        <v>2087.16</v>
      </c>
      <c r="K181" s="93">
        <v>432.32</v>
      </c>
      <c r="L181" s="93">
        <v>479.12</v>
      </c>
      <c r="M181" s="358">
        <v>479</v>
      </c>
      <c r="N181" s="89"/>
    </row>
    <row r="182" spans="1:14" ht="21.75" customHeight="1" thickBot="1" x14ac:dyDescent="0.25">
      <c r="A182" s="978"/>
      <c r="B182" s="282" t="s">
        <v>21</v>
      </c>
      <c r="C182" s="282"/>
      <c r="D182" s="1023" t="s">
        <v>471</v>
      </c>
      <c r="E182" s="1025"/>
      <c r="F182" s="292"/>
      <c r="G182" s="284">
        <f t="shared" si="67"/>
        <v>136</v>
      </c>
      <c r="H182" s="284"/>
      <c r="I182" s="88">
        <f>I183+I186+I189</f>
        <v>0</v>
      </c>
      <c r="J182" s="88">
        <f>J183+J187+J189</f>
        <v>0</v>
      </c>
      <c r="K182" s="88">
        <f>K183+K187+K189</f>
        <v>0</v>
      </c>
      <c r="L182" s="88">
        <f>L183+L187+L189</f>
        <v>0</v>
      </c>
      <c r="M182" s="353">
        <f>M183+M187+M189</f>
        <v>0</v>
      </c>
      <c r="N182" s="88">
        <f>N183+N187+N189</f>
        <v>0</v>
      </c>
    </row>
    <row r="183" spans="1:14" ht="13.5" thickBot="1" x14ac:dyDescent="0.25">
      <c r="A183" s="978"/>
      <c r="B183" s="1018"/>
      <c r="C183" s="71" t="s">
        <v>27</v>
      </c>
      <c r="D183" s="973" t="s">
        <v>461</v>
      </c>
      <c r="E183" s="974"/>
      <c r="F183" s="275"/>
      <c r="G183" s="84">
        <f t="shared" si="67"/>
        <v>137</v>
      </c>
      <c r="H183" s="84"/>
      <c r="I183" s="89">
        <f t="shared" ref="I183:M183" si="70">I184+I185</f>
        <v>0</v>
      </c>
      <c r="J183" s="89">
        <f>J184+J185</f>
        <v>0</v>
      </c>
      <c r="K183" s="89">
        <f t="shared" si="70"/>
        <v>0</v>
      </c>
      <c r="L183" s="89">
        <f t="shared" si="70"/>
        <v>0</v>
      </c>
      <c r="M183" s="113">
        <f t="shared" si="70"/>
        <v>0</v>
      </c>
      <c r="N183" s="89">
        <f t="shared" ref="N183" si="71">N184+N185</f>
        <v>0</v>
      </c>
    </row>
    <row r="184" spans="1:14" ht="13.5" thickBot="1" x14ac:dyDescent="0.25">
      <c r="A184" s="978"/>
      <c r="B184" s="1019"/>
      <c r="C184" s="71"/>
      <c r="D184" s="71" t="s">
        <v>237</v>
      </c>
      <c r="E184" s="71" t="s">
        <v>294</v>
      </c>
      <c r="F184" s="86">
        <v>666</v>
      </c>
      <c r="G184" s="84">
        <f t="shared" si="67"/>
        <v>138</v>
      </c>
      <c r="H184" s="84"/>
      <c r="I184" s="89">
        <f>SUM(J184:M184)</f>
        <v>0</v>
      </c>
      <c r="J184" s="89"/>
      <c r="K184" s="89"/>
      <c r="L184" s="89"/>
      <c r="M184" s="113"/>
      <c r="N184" s="89"/>
    </row>
    <row r="185" spans="1:14" ht="13.5" thickBot="1" x14ac:dyDescent="0.25">
      <c r="A185" s="978"/>
      <c r="B185" s="1019"/>
      <c r="C185" s="71"/>
      <c r="D185" s="71" t="s">
        <v>66</v>
      </c>
      <c r="E185" s="71" t="s">
        <v>349</v>
      </c>
      <c r="F185" s="86"/>
      <c r="G185" s="84">
        <f t="shared" si="67"/>
        <v>139</v>
      </c>
      <c r="H185" s="84"/>
      <c r="I185" s="89">
        <f>SUM(J185:M185)</f>
        <v>0</v>
      </c>
      <c r="J185" s="112"/>
      <c r="K185" s="112"/>
      <c r="L185" s="112"/>
      <c r="M185" s="368"/>
      <c r="N185" s="112"/>
    </row>
    <row r="186" spans="1:14" ht="21" customHeight="1" thickBot="1" x14ac:dyDescent="0.25">
      <c r="A186" s="978"/>
      <c r="B186" s="1019"/>
      <c r="C186" s="71" t="s">
        <v>38</v>
      </c>
      <c r="D186" s="973" t="s">
        <v>440</v>
      </c>
      <c r="E186" s="974"/>
      <c r="F186" s="275"/>
      <c r="G186" s="84">
        <f t="shared" si="67"/>
        <v>140</v>
      </c>
      <c r="H186" s="413"/>
      <c r="I186" s="113">
        <f>I187+I188</f>
        <v>0</v>
      </c>
      <c r="J186" s="114">
        <f>SUM(J187:J188)</f>
        <v>0</v>
      </c>
      <c r="K186" s="114">
        <f>SUM(K187:K188)</f>
        <v>0</v>
      </c>
      <c r="L186" s="114">
        <f>SUM(L187:L188)</f>
        <v>0</v>
      </c>
      <c r="M186" s="369">
        <f>SUM(M187:M188)</f>
        <v>0</v>
      </c>
      <c r="N186" s="380">
        <f>SUM(N187:N188)</f>
        <v>0</v>
      </c>
    </row>
    <row r="187" spans="1:14" ht="13.5" thickBot="1" x14ac:dyDescent="0.25">
      <c r="A187" s="978"/>
      <c r="B187" s="1019"/>
      <c r="C187" s="71"/>
      <c r="D187" s="71" t="s">
        <v>76</v>
      </c>
      <c r="E187" s="71" t="s">
        <v>294</v>
      </c>
      <c r="F187" s="86">
        <v>665</v>
      </c>
      <c r="G187" s="84">
        <f t="shared" si="67"/>
        <v>141</v>
      </c>
      <c r="H187" s="84"/>
      <c r="I187" s="89">
        <f>SUM(J187:M187)</f>
        <v>0</v>
      </c>
      <c r="J187" s="115"/>
      <c r="K187" s="115"/>
      <c r="L187" s="115"/>
      <c r="M187" s="370"/>
      <c r="N187" s="115"/>
    </row>
    <row r="188" spans="1:14" ht="13.5" thickBot="1" x14ac:dyDescent="0.25">
      <c r="A188" s="978"/>
      <c r="B188" s="1019"/>
      <c r="C188" s="71"/>
      <c r="D188" s="71" t="s">
        <v>99</v>
      </c>
      <c r="E188" s="71" t="s">
        <v>295</v>
      </c>
      <c r="F188" s="86"/>
      <c r="G188" s="84">
        <f t="shared" si="67"/>
        <v>142</v>
      </c>
      <c r="H188" s="84"/>
      <c r="I188" s="89">
        <f>SUM(J188:M188)</f>
        <v>0</v>
      </c>
      <c r="J188" s="89"/>
      <c r="K188" s="89"/>
      <c r="L188" s="89"/>
      <c r="M188" s="113"/>
      <c r="N188" s="89"/>
    </row>
    <row r="189" spans="1:14" ht="13.5" thickBot="1" x14ac:dyDescent="0.25">
      <c r="A189" s="978"/>
      <c r="B189" s="1020"/>
      <c r="C189" s="71" t="s">
        <v>40</v>
      </c>
      <c r="D189" s="973" t="s">
        <v>296</v>
      </c>
      <c r="E189" s="974"/>
      <c r="F189" s="275">
        <v>668</v>
      </c>
      <c r="G189" s="84">
        <f t="shared" si="67"/>
        <v>143</v>
      </c>
      <c r="H189" s="84"/>
      <c r="I189" s="89">
        <f>SUM(J189:M189)</f>
        <v>0</v>
      </c>
      <c r="J189" s="89"/>
      <c r="K189" s="89"/>
      <c r="L189" s="89"/>
      <c r="M189" s="113"/>
      <c r="N189" s="89"/>
    </row>
    <row r="190" spans="1:14" ht="13.5" thickBot="1" x14ac:dyDescent="0.25">
      <c r="A190" s="979"/>
      <c r="B190" s="71" t="s">
        <v>17</v>
      </c>
      <c r="C190" s="319"/>
      <c r="D190" s="1041" t="s">
        <v>129</v>
      </c>
      <c r="E190" s="1042"/>
      <c r="F190" s="320"/>
      <c r="G190" s="84">
        <f t="shared" si="67"/>
        <v>144</v>
      </c>
      <c r="H190" s="84"/>
      <c r="I190" s="89">
        <f>SUM(J190:M190)</f>
        <v>0</v>
      </c>
      <c r="J190" s="117"/>
      <c r="K190" s="117"/>
      <c r="L190" s="117"/>
      <c r="M190" s="371"/>
      <c r="N190" s="117"/>
    </row>
    <row r="191" spans="1:14" ht="13.5" thickBot="1" x14ac:dyDescent="0.25">
      <c r="A191" s="87" t="s">
        <v>130</v>
      </c>
      <c r="B191" s="321"/>
      <c r="C191" s="321"/>
      <c r="D191" s="1023" t="s">
        <v>441</v>
      </c>
      <c r="E191" s="1025"/>
      <c r="F191" s="292"/>
      <c r="G191" s="284">
        <f t="shared" si="67"/>
        <v>145</v>
      </c>
      <c r="H191" s="284"/>
      <c r="I191" s="88">
        <f t="shared" ref="I191:M191" si="72">I10-I41</f>
        <v>-493233.78218000033</v>
      </c>
      <c r="J191" s="88">
        <f>J10-J41</f>
        <v>-128201.02776000006</v>
      </c>
      <c r="K191" s="88">
        <f t="shared" si="72"/>
        <v>-142135.92111999996</v>
      </c>
      <c r="L191" s="88">
        <f t="shared" si="72"/>
        <v>-94067.645120000001</v>
      </c>
      <c r="M191" s="353">
        <f t="shared" si="72"/>
        <v>-128829.18818</v>
      </c>
      <c r="N191" s="88">
        <f t="shared" ref="N191" si="73">N10-N41</f>
        <v>0</v>
      </c>
    </row>
    <row r="192" spans="1:14" ht="13.5" thickBot="1" x14ac:dyDescent="0.25">
      <c r="A192" s="87"/>
      <c r="B192" s="321"/>
      <c r="C192" s="321"/>
      <c r="D192" s="322"/>
      <c r="E192" s="322" t="s">
        <v>421</v>
      </c>
      <c r="F192" s="323"/>
      <c r="G192" s="121">
        <v>146</v>
      </c>
      <c r="H192" s="408"/>
      <c r="I192" s="324">
        <f>SUM(J192:M192)</f>
        <v>3477.6</v>
      </c>
      <c r="J192" s="324">
        <f t="shared" ref="J192:M192" si="74">J177</f>
        <v>2087.16</v>
      </c>
      <c r="K192" s="324">
        <f t="shared" si="74"/>
        <v>432.32</v>
      </c>
      <c r="L192" s="324">
        <f t="shared" si="74"/>
        <v>479.12</v>
      </c>
      <c r="M192" s="372">
        <f t="shared" si="74"/>
        <v>479</v>
      </c>
      <c r="N192" s="324">
        <f t="shared" ref="N192" si="75">N177</f>
        <v>0</v>
      </c>
    </row>
    <row r="193" spans="1:14" ht="13.5" thickBot="1" x14ac:dyDescent="0.25">
      <c r="A193" s="84"/>
      <c r="B193" s="71"/>
      <c r="C193" s="71"/>
      <c r="D193" s="322"/>
      <c r="E193" s="322" t="s">
        <v>297</v>
      </c>
      <c r="F193" s="323"/>
      <c r="G193" s="121">
        <v>147</v>
      </c>
      <c r="H193" s="408"/>
      <c r="I193" s="324">
        <f t="shared" ref="I193:I194" si="76">SUM(J193:M193)</f>
        <v>0</v>
      </c>
      <c r="J193" s="242">
        <f>J174</f>
        <v>0</v>
      </c>
      <c r="K193" s="242">
        <f t="shared" ref="K193:M193" si="77">K174</f>
        <v>0</v>
      </c>
      <c r="L193" s="242">
        <f t="shared" si="77"/>
        <v>0</v>
      </c>
      <c r="M193" s="242">
        <f t="shared" si="77"/>
        <v>0</v>
      </c>
      <c r="N193" s="242">
        <f>N173</f>
        <v>0</v>
      </c>
    </row>
    <row r="194" spans="1:14" ht="13.5" thickBot="1" x14ac:dyDescent="0.25">
      <c r="A194" s="87" t="s">
        <v>132</v>
      </c>
      <c r="B194" s="321"/>
      <c r="C194" s="321"/>
      <c r="D194" s="1023" t="s">
        <v>133</v>
      </c>
      <c r="E194" s="1025"/>
      <c r="F194" s="292"/>
      <c r="G194" s="284">
        <f t="shared" si="67"/>
        <v>148</v>
      </c>
      <c r="H194" s="284"/>
      <c r="I194" s="324">
        <f t="shared" si="76"/>
        <v>0</v>
      </c>
      <c r="J194" s="88"/>
      <c r="K194" s="88"/>
      <c r="L194" s="88"/>
      <c r="M194" s="353"/>
      <c r="N194" s="88">
        <f>(N191+N193)*16%</f>
        <v>0</v>
      </c>
    </row>
    <row r="195" spans="1:14" x14ac:dyDescent="0.2">
      <c r="A195" s="326" t="s">
        <v>134</v>
      </c>
      <c r="B195" s="330"/>
      <c r="C195" s="331"/>
      <c r="D195" s="1043" t="s">
        <v>422</v>
      </c>
      <c r="E195" s="1044"/>
      <c r="F195" s="338"/>
      <c r="G195" s="339">
        <v>149</v>
      </c>
      <c r="H195" s="339"/>
      <c r="I195" s="340"/>
      <c r="J195" s="340"/>
      <c r="K195" s="340"/>
      <c r="L195" s="340"/>
      <c r="M195" s="373"/>
      <c r="N195" s="381"/>
    </row>
    <row r="196" spans="1:14" x14ac:dyDescent="0.2">
      <c r="A196" s="327" t="s">
        <v>141</v>
      </c>
      <c r="B196" s="332"/>
      <c r="C196" s="333"/>
      <c r="D196" s="1035" t="s">
        <v>423</v>
      </c>
      <c r="E196" s="1036"/>
      <c r="F196" s="325"/>
      <c r="G196" s="121">
        <v>150</v>
      </c>
      <c r="H196" s="121"/>
      <c r="I196" s="122"/>
      <c r="J196" s="122"/>
      <c r="K196" s="122"/>
      <c r="L196" s="122"/>
      <c r="M196" s="374"/>
      <c r="N196" s="382"/>
    </row>
    <row r="197" spans="1:14" x14ac:dyDescent="0.2">
      <c r="A197" s="328" t="s">
        <v>143</v>
      </c>
      <c r="B197" s="334"/>
      <c r="C197" s="335"/>
      <c r="D197" s="1037" t="s">
        <v>424</v>
      </c>
      <c r="E197" s="1038"/>
      <c r="F197" s="280"/>
      <c r="G197" s="251">
        <v>151</v>
      </c>
      <c r="H197" s="251"/>
      <c r="I197" s="252"/>
      <c r="J197" s="252"/>
      <c r="K197" s="252"/>
      <c r="L197" s="252"/>
      <c r="M197" s="375"/>
      <c r="N197" s="383"/>
    </row>
    <row r="198" spans="1:14" ht="22.5" customHeight="1" thickBot="1" x14ac:dyDescent="0.25">
      <c r="A198" s="329" t="s">
        <v>150</v>
      </c>
      <c r="B198" s="336"/>
      <c r="C198" s="337"/>
      <c r="D198" s="1039" t="s">
        <v>425</v>
      </c>
      <c r="E198" s="1040"/>
      <c r="F198" s="341"/>
      <c r="G198" s="342">
        <v>152</v>
      </c>
      <c r="H198" s="342"/>
      <c r="I198" s="343"/>
      <c r="J198" s="343"/>
      <c r="K198" s="343"/>
      <c r="L198" s="343"/>
      <c r="M198" s="376"/>
      <c r="N198" s="384"/>
    </row>
  </sheetData>
  <mergeCells count="122">
    <mergeCell ref="D196:E196"/>
    <mergeCell ref="D197:E197"/>
    <mergeCell ref="D198:E198"/>
    <mergeCell ref="D186:E186"/>
    <mergeCell ref="D189:E189"/>
    <mergeCell ref="D190:E190"/>
    <mergeCell ref="D191:E191"/>
    <mergeCell ref="D194:E194"/>
    <mergeCell ref="D195:E195"/>
    <mergeCell ref="D169:E169"/>
    <mergeCell ref="A170:A190"/>
    <mergeCell ref="B170:B173"/>
    <mergeCell ref="D170:E170"/>
    <mergeCell ref="D171:E171"/>
    <mergeCell ref="D172:E172"/>
    <mergeCell ref="D173:E173"/>
    <mergeCell ref="D182:E182"/>
    <mergeCell ref="B183:B189"/>
    <mergeCell ref="D183:E183"/>
    <mergeCell ref="A120:A169"/>
    <mergeCell ref="B120:B169"/>
    <mergeCell ref="D163:E163"/>
    <mergeCell ref="D164:E164"/>
    <mergeCell ref="C165:E165"/>
    <mergeCell ref="D166:E166"/>
    <mergeCell ref="D167:E167"/>
    <mergeCell ref="D168:E168"/>
    <mergeCell ref="D157:E157"/>
    <mergeCell ref="D158:E158"/>
    <mergeCell ref="D159:E159"/>
    <mergeCell ref="D160:E160"/>
    <mergeCell ref="D161:E161"/>
    <mergeCell ref="D162:E162"/>
    <mergeCell ref="D147:E147"/>
    <mergeCell ref="D148:E148"/>
    <mergeCell ref="D149:E149"/>
    <mergeCell ref="C150:C156"/>
    <mergeCell ref="D150:E150"/>
    <mergeCell ref="D153:E153"/>
    <mergeCell ref="D156:E156"/>
    <mergeCell ref="D141:E141"/>
    <mergeCell ref="D142:E142"/>
    <mergeCell ref="D143:E143"/>
    <mergeCell ref="D144:E144"/>
    <mergeCell ref="D145:E145"/>
    <mergeCell ref="D146:E146"/>
    <mergeCell ref="C134:C136"/>
    <mergeCell ref="D134:E134"/>
    <mergeCell ref="D135:E135"/>
    <mergeCell ref="D136:E136"/>
    <mergeCell ref="D137:E137"/>
    <mergeCell ref="D138:E138"/>
    <mergeCell ref="D117:E117"/>
    <mergeCell ref="D118:E118"/>
    <mergeCell ref="D119:E119"/>
    <mergeCell ref="D120:E120"/>
    <mergeCell ref="D121:E121"/>
    <mergeCell ref="C131:E131"/>
    <mergeCell ref="D132:E132"/>
    <mergeCell ref="D133:E133"/>
    <mergeCell ref="D65:E65"/>
    <mergeCell ref="D66:E66"/>
    <mergeCell ref="D70:E70"/>
    <mergeCell ref="D99:E99"/>
    <mergeCell ref="D100:E100"/>
    <mergeCell ref="D101:E101"/>
    <mergeCell ref="D110:E110"/>
    <mergeCell ref="C115:E115"/>
    <mergeCell ref="D116:E116"/>
    <mergeCell ref="D93:E93"/>
    <mergeCell ref="D94:E94"/>
    <mergeCell ref="D95:E95"/>
    <mergeCell ref="D96:E96"/>
    <mergeCell ref="D97:E97"/>
    <mergeCell ref="D98:E98"/>
    <mergeCell ref="A71:A119"/>
    <mergeCell ref="B71:B119"/>
    <mergeCell ref="D74:E74"/>
    <mergeCell ref="D75:E75"/>
    <mergeCell ref="D76:E76"/>
    <mergeCell ref="D40:E40"/>
    <mergeCell ref="B41:E41"/>
    <mergeCell ref="A42:A70"/>
    <mergeCell ref="C42:E42"/>
    <mergeCell ref="B43:B70"/>
    <mergeCell ref="C43:E43"/>
    <mergeCell ref="D44:E44"/>
    <mergeCell ref="D45:E45"/>
    <mergeCell ref="D46:E46"/>
    <mergeCell ref="D57:E57"/>
    <mergeCell ref="A11:A40"/>
    <mergeCell ref="D77:E77"/>
    <mergeCell ref="D78:E78"/>
    <mergeCell ref="D79:E79"/>
    <mergeCell ref="D86:E86"/>
    <mergeCell ref="D91:E91"/>
    <mergeCell ref="D92:E92"/>
    <mergeCell ref="D58:E58"/>
    <mergeCell ref="D64:E64"/>
    <mergeCell ref="A1:D1"/>
    <mergeCell ref="A2:D2"/>
    <mergeCell ref="A3:D3"/>
    <mergeCell ref="E4:J4"/>
    <mergeCell ref="E5:J5"/>
    <mergeCell ref="A8:B8"/>
    <mergeCell ref="D26:E26"/>
    <mergeCell ref="D34:E34"/>
    <mergeCell ref="B35:B39"/>
    <mergeCell ref="D35:E35"/>
    <mergeCell ref="D36:E36"/>
    <mergeCell ref="D37:E37"/>
    <mergeCell ref="D38:E38"/>
    <mergeCell ref="D39:E39"/>
    <mergeCell ref="B10:E10"/>
    <mergeCell ref="C11:E11"/>
    <mergeCell ref="B12:B25"/>
    <mergeCell ref="D12:E12"/>
    <mergeCell ref="D20:E20"/>
    <mergeCell ref="D21:E21"/>
    <mergeCell ref="C22:C23"/>
    <mergeCell ref="D24:E24"/>
    <mergeCell ref="D25:E25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8"/>
  <sheetViews>
    <sheetView workbookViewId="0">
      <selection activeCell="H159" sqref="H159"/>
    </sheetView>
  </sheetViews>
  <sheetFormatPr defaultRowHeight="12.75" x14ac:dyDescent="0.2"/>
  <cols>
    <col min="1" max="1" width="3.42578125" bestFit="1" customWidth="1"/>
    <col min="2" max="2" width="1.85546875" bestFit="1" customWidth="1"/>
    <col min="3" max="3" width="3" bestFit="1" customWidth="1"/>
    <col min="4" max="4" width="4.7109375" bestFit="1" customWidth="1"/>
    <col min="5" max="5" width="48.28515625" customWidth="1"/>
    <col min="6" max="6" width="15.85546875" customWidth="1"/>
    <col min="7" max="7" width="4.42578125" bestFit="1" customWidth="1"/>
    <col min="8" max="8" width="7.7109375" customWidth="1"/>
    <col min="9" max="12" width="10.42578125" bestFit="1" customWidth="1"/>
    <col min="13" max="13" width="8.7109375" bestFit="1" customWidth="1"/>
    <col min="14" max="14" width="11.7109375" customWidth="1"/>
  </cols>
  <sheetData>
    <row r="1" spans="1:14" x14ac:dyDescent="0.2">
      <c r="A1" s="938" t="s">
        <v>0</v>
      </c>
      <c r="B1" s="938"/>
      <c r="C1" s="938"/>
      <c r="D1" s="938"/>
      <c r="E1" s="27" t="s">
        <v>676</v>
      </c>
    </row>
    <row r="2" spans="1:14" x14ac:dyDescent="0.2">
      <c r="A2" s="938" t="s">
        <v>1</v>
      </c>
      <c r="B2" s="938"/>
      <c r="C2" s="938"/>
      <c r="D2" s="938"/>
      <c r="E2" s="272"/>
      <c r="F2" s="272"/>
      <c r="G2" s="51"/>
      <c r="H2" s="51"/>
      <c r="I2" s="51"/>
      <c r="J2" s="51"/>
      <c r="K2" s="53" t="s">
        <v>11</v>
      </c>
      <c r="L2" s="51"/>
      <c r="M2" s="51"/>
    </row>
    <row r="3" spans="1:14" x14ac:dyDescent="0.2">
      <c r="A3" s="938" t="s">
        <v>2</v>
      </c>
      <c r="B3" s="938"/>
      <c r="C3" s="938"/>
      <c r="D3" s="938"/>
      <c r="E3" s="272"/>
      <c r="F3" s="272"/>
      <c r="G3" s="51"/>
      <c r="H3" s="51"/>
      <c r="I3" s="51"/>
      <c r="J3" s="51"/>
      <c r="K3" s="51"/>
      <c r="L3" s="51"/>
      <c r="M3" s="51"/>
    </row>
    <row r="4" spans="1:14" x14ac:dyDescent="0.2">
      <c r="A4" s="272"/>
      <c r="B4" s="272"/>
      <c r="C4" s="272"/>
      <c r="D4" s="51"/>
      <c r="E4" s="1047" t="s">
        <v>3</v>
      </c>
      <c r="F4" s="1047"/>
      <c r="G4" s="1047"/>
      <c r="H4" s="1047"/>
      <c r="I4" s="1047"/>
      <c r="J4" s="1047"/>
      <c r="K4" s="83"/>
      <c r="L4" s="83"/>
      <c r="M4" s="51">
        <v>1000</v>
      </c>
    </row>
    <row r="5" spans="1:14" x14ac:dyDescent="0.2">
      <c r="A5" s="272"/>
      <c r="B5" s="272"/>
      <c r="C5" s="272"/>
      <c r="D5" s="83"/>
      <c r="E5" s="1048" t="s">
        <v>657</v>
      </c>
      <c r="F5" s="1048"/>
      <c r="G5" s="1048"/>
      <c r="H5" s="1048"/>
      <c r="I5" s="1048"/>
      <c r="J5" s="1048"/>
      <c r="K5" s="83"/>
      <c r="L5" s="51"/>
      <c r="M5" s="51"/>
    </row>
    <row r="6" spans="1:14" x14ac:dyDescent="0.2">
      <c r="A6" s="272"/>
      <c r="B6" s="272"/>
      <c r="C6" s="272"/>
      <c r="D6" s="83"/>
      <c r="E6" s="83"/>
      <c r="F6" s="83"/>
      <c r="G6" s="83"/>
      <c r="H6" s="83"/>
      <c r="I6" s="83"/>
      <c r="J6" s="83"/>
      <c r="K6" s="83"/>
      <c r="L6" s="51"/>
      <c r="M6" s="51"/>
    </row>
    <row r="7" spans="1:14" ht="13.5" thickBot="1" x14ac:dyDescent="0.25">
      <c r="A7" s="272"/>
      <c r="B7" s="272"/>
      <c r="C7" s="272"/>
      <c r="D7" s="83"/>
      <c r="E7" s="272"/>
      <c r="F7" s="272"/>
      <c r="G7" s="83"/>
      <c r="H7" s="83"/>
      <c r="I7" s="83"/>
      <c r="J7" s="83"/>
      <c r="K7" s="83"/>
      <c r="L7" s="51"/>
      <c r="M7" s="51"/>
    </row>
    <row r="8" spans="1:14" ht="32.25" customHeight="1" thickBot="1" x14ac:dyDescent="0.25">
      <c r="A8" s="980" t="s">
        <v>308</v>
      </c>
      <c r="B8" s="981"/>
      <c r="C8" s="84"/>
      <c r="D8" s="84"/>
      <c r="E8" s="85" t="s">
        <v>15</v>
      </c>
      <c r="F8" s="85" t="s">
        <v>551</v>
      </c>
      <c r="G8" s="84" t="s">
        <v>309</v>
      </c>
      <c r="H8" s="84"/>
      <c r="I8" s="86" t="s">
        <v>661</v>
      </c>
      <c r="J8" s="84" t="s">
        <v>310</v>
      </c>
      <c r="K8" s="84" t="s">
        <v>311</v>
      </c>
      <c r="L8" s="84" t="s">
        <v>312</v>
      </c>
      <c r="M8" s="273" t="s">
        <v>313</v>
      </c>
      <c r="N8" s="379" t="s">
        <v>658</v>
      </c>
    </row>
    <row r="9" spans="1:14" ht="13.5" thickBot="1" x14ac:dyDescent="0.25">
      <c r="A9" s="84" t="s">
        <v>30</v>
      </c>
      <c r="B9" s="84"/>
      <c r="C9" s="84"/>
      <c r="D9" s="84"/>
      <c r="E9" s="85" t="s">
        <v>4</v>
      </c>
      <c r="F9" s="281"/>
      <c r="G9" s="84" t="s">
        <v>314</v>
      </c>
      <c r="H9" s="84"/>
      <c r="I9" s="84" t="s">
        <v>21</v>
      </c>
      <c r="J9" s="84" t="s">
        <v>17</v>
      </c>
      <c r="K9" s="84" t="s">
        <v>18</v>
      </c>
      <c r="L9" s="84" t="s">
        <v>24</v>
      </c>
      <c r="M9" s="273" t="s">
        <v>19</v>
      </c>
      <c r="N9" s="377"/>
    </row>
    <row r="10" spans="1:14" ht="13.5" thickBot="1" x14ac:dyDescent="0.25">
      <c r="A10" s="87" t="s">
        <v>215</v>
      </c>
      <c r="B10" s="968" t="s">
        <v>462</v>
      </c>
      <c r="C10" s="1011"/>
      <c r="D10" s="1011"/>
      <c r="E10" s="969"/>
      <c r="F10" s="274"/>
      <c r="G10" s="87" t="s">
        <v>4</v>
      </c>
      <c r="H10" s="87"/>
      <c r="I10" s="88">
        <f t="shared" ref="I10:N10" si="0">I11+I34+I40</f>
        <v>2713400</v>
      </c>
      <c r="J10" s="88">
        <f t="shared" si="0"/>
        <v>593350</v>
      </c>
      <c r="K10" s="88">
        <f t="shared" si="0"/>
        <v>763350</v>
      </c>
      <c r="L10" s="88">
        <f t="shared" si="0"/>
        <v>613350</v>
      </c>
      <c r="M10" s="353">
        <f t="shared" si="0"/>
        <v>743350</v>
      </c>
      <c r="N10" s="88">
        <f t="shared" si="0"/>
        <v>0</v>
      </c>
    </row>
    <row r="11" spans="1:14" ht="13.5" thickBot="1" x14ac:dyDescent="0.25">
      <c r="A11" s="977"/>
      <c r="B11" s="282" t="s">
        <v>4</v>
      </c>
      <c r="C11" s="1015" t="s">
        <v>113</v>
      </c>
      <c r="D11" s="1016"/>
      <c r="E11" s="1017"/>
      <c r="F11" s="283"/>
      <c r="G11" s="284">
        <f>G10+1</f>
        <v>2</v>
      </c>
      <c r="H11" s="284"/>
      <c r="I11" s="285">
        <f t="shared" ref="I11:N11" si="1">I12+I20+I21+I24+I25+I26</f>
        <v>2713400</v>
      </c>
      <c r="J11" s="285">
        <f t="shared" si="1"/>
        <v>593350</v>
      </c>
      <c r="K11" s="285">
        <f t="shared" si="1"/>
        <v>763350</v>
      </c>
      <c r="L11" s="285">
        <f t="shared" si="1"/>
        <v>613350</v>
      </c>
      <c r="M11" s="354">
        <f t="shared" si="1"/>
        <v>743350</v>
      </c>
      <c r="N11" s="285">
        <f t="shared" si="1"/>
        <v>0</v>
      </c>
    </row>
    <row r="12" spans="1:14" ht="13.5" thickBot="1" x14ac:dyDescent="0.25">
      <c r="A12" s="978"/>
      <c r="B12" s="1018"/>
      <c r="C12" s="71" t="s">
        <v>27</v>
      </c>
      <c r="D12" s="973" t="s">
        <v>315</v>
      </c>
      <c r="E12" s="974"/>
      <c r="F12" s="275">
        <v>70</v>
      </c>
      <c r="G12" s="84">
        <f>G11+1</f>
        <v>3</v>
      </c>
      <c r="H12" s="84"/>
      <c r="I12" s="89">
        <f t="shared" ref="I12:N12" si="2">I13+I14+I18+I19</f>
        <v>2413400</v>
      </c>
      <c r="J12" s="89">
        <f t="shared" si="2"/>
        <v>593350</v>
      </c>
      <c r="K12" s="89">
        <f t="shared" si="2"/>
        <v>613350</v>
      </c>
      <c r="L12" s="89">
        <f t="shared" si="2"/>
        <v>613350</v>
      </c>
      <c r="M12" s="113">
        <f t="shared" si="2"/>
        <v>593350</v>
      </c>
      <c r="N12" s="89">
        <f t="shared" si="2"/>
        <v>0</v>
      </c>
    </row>
    <row r="13" spans="1:14" ht="13.5" thickBot="1" x14ac:dyDescent="0.25">
      <c r="A13" s="978"/>
      <c r="B13" s="1019"/>
      <c r="C13" s="71"/>
      <c r="D13" s="71" t="s">
        <v>237</v>
      </c>
      <c r="E13" s="71" t="s">
        <v>316</v>
      </c>
      <c r="F13" s="86"/>
      <c r="G13" s="84">
        <f t="shared" ref="G13:G76" si="3">G12+1</f>
        <v>4</v>
      </c>
      <c r="H13" s="84"/>
      <c r="I13" s="89">
        <f>SUM(J13:M13)</f>
        <v>0</v>
      </c>
      <c r="J13" s="89"/>
      <c r="K13" s="89"/>
      <c r="L13" s="89"/>
      <c r="M13" s="113"/>
      <c r="N13" s="89"/>
    </row>
    <row r="14" spans="1:14" ht="13.5" thickBot="1" x14ac:dyDescent="0.25">
      <c r="A14" s="978"/>
      <c r="B14" s="1019"/>
      <c r="C14" s="71"/>
      <c r="D14" s="71" t="s">
        <v>66</v>
      </c>
      <c r="E14" s="71" t="s">
        <v>317</v>
      </c>
      <c r="F14" s="86">
        <v>704</v>
      </c>
      <c r="G14" s="84">
        <f>G13+1</f>
        <v>5</v>
      </c>
      <c r="H14" s="84"/>
      <c r="I14" s="89">
        <f>SUM(J14:M14)</f>
        <v>2413400</v>
      </c>
      <c r="J14" s="411">
        <f>J15++J16+J17</f>
        <v>593350</v>
      </c>
      <c r="K14" s="411">
        <f>K15++K16+K17</f>
        <v>613350</v>
      </c>
      <c r="L14" s="411">
        <f>L15++L16+L17</f>
        <v>613350</v>
      </c>
      <c r="M14" s="411">
        <f>M15++M16+M17</f>
        <v>593350</v>
      </c>
      <c r="N14" s="91"/>
    </row>
    <row r="15" spans="1:14" ht="13.5" thickBot="1" x14ac:dyDescent="0.25">
      <c r="A15" s="978"/>
      <c r="B15" s="1019"/>
      <c r="C15" s="71"/>
      <c r="D15" s="71"/>
      <c r="E15" s="71"/>
      <c r="F15" s="286" t="s">
        <v>552</v>
      </c>
      <c r="G15" s="84"/>
      <c r="H15" s="84"/>
      <c r="I15" s="89">
        <f t="shared" ref="I15:I16" si="4">SUM(J15:M15)</f>
        <v>1667400</v>
      </c>
      <c r="J15" s="402">
        <v>416850</v>
      </c>
      <c r="K15" s="402">
        <v>416850</v>
      </c>
      <c r="L15" s="402">
        <v>416850</v>
      </c>
      <c r="M15" s="402">
        <v>416850</v>
      </c>
      <c r="N15" s="91"/>
    </row>
    <row r="16" spans="1:14" ht="13.5" thickBot="1" x14ac:dyDescent="0.25">
      <c r="A16" s="978"/>
      <c r="B16" s="1019"/>
      <c r="C16" s="71"/>
      <c r="D16" s="71"/>
      <c r="E16" s="71"/>
      <c r="F16" s="286" t="s">
        <v>553</v>
      </c>
      <c r="G16" s="84"/>
      <c r="H16" s="84"/>
      <c r="I16" s="89">
        <f t="shared" si="4"/>
        <v>746000</v>
      </c>
      <c r="J16" s="402">
        <v>176500</v>
      </c>
      <c r="K16" s="402">
        <v>196500</v>
      </c>
      <c r="L16" s="402">
        <v>196500</v>
      </c>
      <c r="M16" s="402">
        <v>176500</v>
      </c>
      <c r="N16" s="91"/>
    </row>
    <row r="17" spans="1:14" ht="13.5" thickBot="1" x14ac:dyDescent="0.25">
      <c r="A17" s="978"/>
      <c r="B17" s="1019"/>
      <c r="C17" s="71"/>
      <c r="D17" s="71"/>
      <c r="E17" s="71"/>
      <c r="F17" s="286" t="s">
        <v>554</v>
      </c>
      <c r="G17" s="84"/>
      <c r="H17" s="84"/>
      <c r="I17" s="89"/>
      <c r="J17" s="90"/>
      <c r="K17" s="90"/>
      <c r="L17" s="90"/>
      <c r="M17" s="355"/>
      <c r="N17" s="91"/>
    </row>
    <row r="18" spans="1:14" ht="13.5" thickBot="1" x14ac:dyDescent="0.25">
      <c r="A18" s="978"/>
      <c r="B18" s="1019"/>
      <c r="C18" s="71"/>
      <c r="D18" s="71" t="s">
        <v>318</v>
      </c>
      <c r="E18" s="71" t="s">
        <v>319</v>
      </c>
      <c r="F18" s="86" t="s">
        <v>555</v>
      </c>
      <c r="G18" s="84">
        <f>G14+1</f>
        <v>6</v>
      </c>
      <c r="H18" s="84"/>
      <c r="I18" s="287">
        <f>SUM(J18:M18)</f>
        <v>0</v>
      </c>
      <c r="J18" s="288"/>
      <c r="K18" s="288"/>
      <c r="L18" s="288"/>
      <c r="M18" s="356"/>
      <c r="N18" s="289"/>
    </row>
    <row r="19" spans="1:14" ht="23.25" thickBot="1" x14ac:dyDescent="0.25">
      <c r="A19" s="978"/>
      <c r="B19" s="1019"/>
      <c r="C19" s="71"/>
      <c r="D19" s="71" t="s">
        <v>320</v>
      </c>
      <c r="E19" s="71" t="s">
        <v>321</v>
      </c>
      <c r="F19" s="86" t="s">
        <v>556</v>
      </c>
      <c r="G19" s="84">
        <f t="shared" si="3"/>
        <v>7</v>
      </c>
      <c r="H19" s="84"/>
      <c r="I19" s="287">
        <f>SUM(J19:M19)</f>
        <v>0</v>
      </c>
      <c r="J19" s="288"/>
      <c r="K19" s="288"/>
      <c r="L19" s="288"/>
      <c r="M19" s="356"/>
      <c r="N19" s="289"/>
    </row>
    <row r="20" spans="1:14" ht="13.5" thickBot="1" x14ac:dyDescent="0.25">
      <c r="A20" s="978"/>
      <c r="B20" s="1019"/>
      <c r="C20" s="71" t="s">
        <v>38</v>
      </c>
      <c r="D20" s="973" t="s">
        <v>322</v>
      </c>
      <c r="E20" s="974"/>
      <c r="F20" s="275"/>
      <c r="G20" s="84">
        <f t="shared" si="3"/>
        <v>8</v>
      </c>
      <c r="H20" s="84"/>
      <c r="I20" s="89"/>
      <c r="J20" s="89"/>
      <c r="K20" s="89"/>
      <c r="L20" s="89"/>
      <c r="M20" s="113"/>
      <c r="N20" s="89"/>
    </row>
    <row r="21" spans="1:14" ht="26.25" customHeight="1" thickBot="1" x14ac:dyDescent="0.25">
      <c r="A21" s="978"/>
      <c r="B21" s="1019"/>
      <c r="C21" s="71" t="s">
        <v>40</v>
      </c>
      <c r="D21" s="973" t="s">
        <v>323</v>
      </c>
      <c r="E21" s="974"/>
      <c r="F21" s="275"/>
      <c r="G21" s="84">
        <f t="shared" si="3"/>
        <v>9</v>
      </c>
      <c r="H21" s="84"/>
      <c r="I21" s="89">
        <f t="shared" ref="I21:N21" si="5">I22+I23</f>
        <v>0</v>
      </c>
      <c r="J21" s="89">
        <f t="shared" si="5"/>
        <v>0</v>
      </c>
      <c r="K21" s="89">
        <f t="shared" si="5"/>
        <v>0</v>
      </c>
      <c r="L21" s="89">
        <f t="shared" si="5"/>
        <v>0</v>
      </c>
      <c r="M21" s="113">
        <f t="shared" si="5"/>
        <v>0</v>
      </c>
      <c r="N21" s="89">
        <f t="shared" si="5"/>
        <v>0</v>
      </c>
    </row>
    <row r="22" spans="1:14" ht="23.25" thickBot="1" x14ac:dyDescent="0.25">
      <c r="A22" s="978"/>
      <c r="B22" s="1019"/>
      <c r="C22" s="1018"/>
      <c r="D22" s="71" t="s">
        <v>324</v>
      </c>
      <c r="E22" s="71" t="s">
        <v>325</v>
      </c>
      <c r="F22" s="86" t="s">
        <v>557</v>
      </c>
      <c r="G22" s="84">
        <f t="shared" si="3"/>
        <v>10</v>
      </c>
      <c r="H22" s="84"/>
      <c r="I22" s="89">
        <f>SUM(J22:M22)</f>
        <v>0</v>
      </c>
      <c r="J22" s="89"/>
      <c r="K22" s="89"/>
      <c r="L22" s="89"/>
      <c r="M22" s="113"/>
      <c r="N22" s="378"/>
    </row>
    <row r="23" spans="1:14" ht="13.5" thickBot="1" x14ac:dyDescent="0.25">
      <c r="A23" s="978"/>
      <c r="B23" s="1019"/>
      <c r="C23" s="1020"/>
      <c r="D23" s="71" t="s">
        <v>67</v>
      </c>
      <c r="E23" s="71" t="s">
        <v>32</v>
      </c>
      <c r="F23" s="86"/>
      <c r="G23" s="84">
        <f t="shared" si="3"/>
        <v>11</v>
      </c>
      <c r="H23" s="84"/>
      <c r="I23" s="92">
        <f>SUM(J23:M23)</f>
        <v>0</v>
      </c>
      <c r="J23" s="92"/>
      <c r="K23" s="92"/>
      <c r="L23" s="92"/>
      <c r="M23" s="357"/>
      <c r="N23" s="378"/>
    </row>
    <row r="24" spans="1:14" ht="23.25" thickBot="1" x14ac:dyDescent="0.25">
      <c r="A24" s="978"/>
      <c r="B24" s="1019"/>
      <c r="C24" s="71" t="s">
        <v>42</v>
      </c>
      <c r="D24" s="973" t="s">
        <v>326</v>
      </c>
      <c r="E24" s="974"/>
      <c r="F24" s="275" t="s">
        <v>558</v>
      </c>
      <c r="G24" s="84">
        <f t="shared" si="3"/>
        <v>12</v>
      </c>
      <c r="H24" s="84"/>
      <c r="I24" s="93">
        <f>SUM(J24:M24)</f>
        <v>300000</v>
      </c>
      <c r="J24" s="93"/>
      <c r="K24" s="93">
        <v>150000</v>
      </c>
      <c r="L24" s="93"/>
      <c r="M24" s="358">
        <v>150000</v>
      </c>
      <c r="N24" s="378"/>
    </row>
    <row r="25" spans="1:14" ht="13.5" thickBot="1" x14ac:dyDescent="0.25">
      <c r="A25" s="978"/>
      <c r="B25" s="1020"/>
      <c r="C25" s="71" t="s">
        <v>28</v>
      </c>
      <c r="D25" s="973" t="s">
        <v>327</v>
      </c>
      <c r="E25" s="974"/>
      <c r="F25" s="275"/>
      <c r="G25" s="84">
        <f t="shared" si="3"/>
        <v>13</v>
      </c>
      <c r="H25" s="84"/>
      <c r="I25" s="93"/>
      <c r="J25" s="93"/>
      <c r="K25" s="93"/>
      <c r="L25" s="93"/>
      <c r="M25" s="358"/>
      <c r="N25" s="378"/>
    </row>
    <row r="26" spans="1:14" ht="25.5" customHeight="1" thickBot="1" x14ac:dyDescent="0.25">
      <c r="A26" s="978"/>
      <c r="B26" s="71"/>
      <c r="C26" s="71" t="s">
        <v>34</v>
      </c>
      <c r="D26" s="973" t="s">
        <v>328</v>
      </c>
      <c r="E26" s="974"/>
      <c r="F26" s="275"/>
      <c r="G26" s="84">
        <f>G25+1</f>
        <v>14</v>
      </c>
      <c r="H26" s="84"/>
      <c r="I26" s="93">
        <f t="shared" ref="I26:N26" si="6">I27+I28+I31+I32+I33</f>
        <v>0</v>
      </c>
      <c r="J26" s="93">
        <f t="shared" si="6"/>
        <v>0</v>
      </c>
      <c r="K26" s="93">
        <f t="shared" si="6"/>
        <v>0</v>
      </c>
      <c r="L26" s="93">
        <f t="shared" si="6"/>
        <v>0</v>
      </c>
      <c r="M26" s="358">
        <f t="shared" si="6"/>
        <v>0</v>
      </c>
      <c r="N26" s="93">
        <f t="shared" si="6"/>
        <v>0</v>
      </c>
    </row>
    <row r="27" spans="1:14" ht="34.5" thickBot="1" x14ac:dyDescent="0.25">
      <c r="A27" s="978"/>
      <c r="B27" s="71"/>
      <c r="C27" s="71"/>
      <c r="D27" s="71" t="s">
        <v>329</v>
      </c>
      <c r="E27" s="71" t="s">
        <v>330</v>
      </c>
      <c r="F27" s="86" t="s">
        <v>559</v>
      </c>
      <c r="G27" s="84">
        <f t="shared" si="3"/>
        <v>15</v>
      </c>
      <c r="H27" s="84"/>
      <c r="I27" s="93">
        <f>SUM(J27:M27)</f>
        <v>0</v>
      </c>
      <c r="J27" s="93"/>
      <c r="K27" s="93"/>
      <c r="L27" s="93"/>
      <c r="M27" s="358"/>
      <c r="N27" s="378"/>
    </row>
    <row r="28" spans="1:14" ht="23.25" thickBot="1" x14ac:dyDescent="0.25">
      <c r="A28" s="978"/>
      <c r="B28" s="71"/>
      <c r="C28" s="71"/>
      <c r="D28" s="71" t="s">
        <v>52</v>
      </c>
      <c r="E28" s="71" t="s">
        <v>331</v>
      </c>
      <c r="F28" s="86"/>
      <c r="G28" s="84">
        <f t="shared" si="3"/>
        <v>16</v>
      </c>
      <c r="H28" s="84"/>
      <c r="I28" s="93">
        <f t="shared" ref="I28:N28" si="7">SUM(I29:I30)</f>
        <v>0</v>
      </c>
      <c r="J28" s="93">
        <f t="shared" si="7"/>
        <v>0</v>
      </c>
      <c r="K28" s="93">
        <f t="shared" si="7"/>
        <v>0</v>
      </c>
      <c r="L28" s="93">
        <f t="shared" si="7"/>
        <v>0</v>
      </c>
      <c r="M28" s="358">
        <f t="shared" si="7"/>
        <v>0</v>
      </c>
      <c r="N28" s="93">
        <f t="shared" si="7"/>
        <v>0</v>
      </c>
    </row>
    <row r="29" spans="1:14" ht="23.25" thickBot="1" x14ac:dyDescent="0.25">
      <c r="A29" s="978"/>
      <c r="B29" s="71"/>
      <c r="C29" s="71"/>
      <c r="D29" s="71"/>
      <c r="E29" s="71" t="s">
        <v>332</v>
      </c>
      <c r="F29" s="86" t="s">
        <v>560</v>
      </c>
      <c r="G29" s="84">
        <f t="shared" si="3"/>
        <v>17</v>
      </c>
      <c r="H29" s="84"/>
      <c r="I29" s="94">
        <f>SUM(J29:M29)</f>
        <v>0</v>
      </c>
      <c r="J29" s="93">
        <v>0</v>
      </c>
      <c r="K29" s="93">
        <v>0</v>
      </c>
      <c r="L29" s="93">
        <v>0</v>
      </c>
      <c r="M29" s="358">
        <v>0</v>
      </c>
      <c r="N29" s="93">
        <v>0</v>
      </c>
    </row>
    <row r="30" spans="1:14" ht="23.25" thickBot="1" x14ac:dyDescent="0.25">
      <c r="A30" s="978"/>
      <c r="B30" s="71"/>
      <c r="C30" s="71"/>
      <c r="D30" s="71"/>
      <c r="E30" s="71" t="s">
        <v>333</v>
      </c>
      <c r="F30" s="86" t="s">
        <v>561</v>
      </c>
      <c r="G30" s="84">
        <f t="shared" si="3"/>
        <v>18</v>
      </c>
      <c r="H30" s="84"/>
      <c r="I30" s="94">
        <f>SUM(J30:M30)</f>
        <v>0</v>
      </c>
      <c r="J30" s="93"/>
      <c r="K30" s="93"/>
      <c r="L30" s="93"/>
      <c r="M30" s="358"/>
      <c r="N30" s="93"/>
    </row>
    <row r="31" spans="1:14" ht="23.25" thickBot="1" x14ac:dyDescent="0.25">
      <c r="A31" s="978"/>
      <c r="B31" s="102"/>
      <c r="C31" s="102"/>
      <c r="D31" s="102" t="s">
        <v>53</v>
      </c>
      <c r="E31" s="102" t="s">
        <v>334</v>
      </c>
      <c r="F31" s="290" t="s">
        <v>562</v>
      </c>
      <c r="G31" s="84">
        <f t="shared" si="3"/>
        <v>19</v>
      </c>
      <c r="H31" s="84"/>
      <c r="I31" s="94">
        <f>SUM(J31:M31)</f>
        <v>0</v>
      </c>
      <c r="J31" s="94">
        <v>0</v>
      </c>
      <c r="K31" s="94">
        <v>0</v>
      </c>
      <c r="L31" s="94">
        <v>0</v>
      </c>
      <c r="M31" s="359">
        <v>0</v>
      </c>
      <c r="N31" s="94">
        <v>0</v>
      </c>
    </row>
    <row r="32" spans="1:14" ht="13.5" thickBot="1" x14ac:dyDescent="0.25">
      <c r="A32" s="978"/>
      <c r="B32" s="102"/>
      <c r="C32" s="102"/>
      <c r="D32" s="102" t="s">
        <v>54</v>
      </c>
      <c r="E32" s="102" t="s">
        <v>335</v>
      </c>
      <c r="F32" s="290"/>
      <c r="G32" s="84">
        <f t="shared" si="3"/>
        <v>20</v>
      </c>
      <c r="H32" s="84"/>
      <c r="I32" s="94">
        <f>SUM(J32:M32)</f>
        <v>0</v>
      </c>
      <c r="J32" s="94"/>
      <c r="K32" s="94"/>
      <c r="L32" s="94"/>
      <c r="M32" s="359"/>
      <c r="N32" s="378"/>
    </row>
    <row r="33" spans="1:14" ht="13.5" thickBot="1" x14ac:dyDescent="0.25">
      <c r="A33" s="978"/>
      <c r="B33" s="102"/>
      <c r="C33" s="102"/>
      <c r="D33" s="102" t="s">
        <v>55</v>
      </c>
      <c r="E33" s="102" t="s">
        <v>321</v>
      </c>
      <c r="F33" s="290" t="s">
        <v>563</v>
      </c>
      <c r="G33" s="84">
        <f t="shared" si="3"/>
        <v>21</v>
      </c>
      <c r="H33" s="84"/>
      <c r="I33" s="94">
        <f>SUM(J33:M33)</f>
        <v>0</v>
      </c>
      <c r="J33" s="94"/>
      <c r="K33" s="94"/>
      <c r="L33" s="94"/>
      <c r="M33" s="359"/>
      <c r="N33" s="378"/>
    </row>
    <row r="34" spans="1:14" ht="19.5" customHeight="1" thickBot="1" x14ac:dyDescent="0.25">
      <c r="A34" s="978"/>
      <c r="B34" s="282" t="s">
        <v>21</v>
      </c>
      <c r="C34" s="282"/>
      <c r="D34" s="1015" t="s">
        <v>336</v>
      </c>
      <c r="E34" s="1017"/>
      <c r="F34" s="283"/>
      <c r="G34" s="284">
        <f t="shared" si="3"/>
        <v>22</v>
      </c>
      <c r="H34" s="284"/>
      <c r="I34" s="291">
        <f t="shared" ref="I34:N34" si="8">I35+I36+I37+I38+I39</f>
        <v>0</v>
      </c>
      <c r="J34" s="291">
        <f t="shared" si="8"/>
        <v>0</v>
      </c>
      <c r="K34" s="291">
        <f t="shared" si="8"/>
        <v>0</v>
      </c>
      <c r="L34" s="291">
        <f t="shared" si="8"/>
        <v>0</v>
      </c>
      <c r="M34" s="360">
        <f t="shared" si="8"/>
        <v>0</v>
      </c>
      <c r="N34" s="291">
        <f t="shared" si="8"/>
        <v>0</v>
      </c>
    </row>
    <row r="35" spans="1:14" ht="13.5" thickBot="1" x14ac:dyDescent="0.25">
      <c r="A35" s="978"/>
      <c r="B35" s="1018"/>
      <c r="C35" s="71" t="s">
        <v>27</v>
      </c>
      <c r="D35" s="973" t="s">
        <v>337</v>
      </c>
      <c r="E35" s="974"/>
      <c r="F35" s="275"/>
      <c r="G35" s="84">
        <f t="shared" si="3"/>
        <v>23</v>
      </c>
      <c r="H35" s="84"/>
      <c r="I35" s="93">
        <f t="shared" ref="I35:I40" si="9">SUM(J35:M35)</f>
        <v>0</v>
      </c>
      <c r="J35" s="93"/>
      <c r="K35" s="93"/>
      <c r="L35" s="93"/>
      <c r="M35" s="358"/>
      <c r="N35" s="93"/>
    </row>
    <row r="36" spans="1:14" ht="13.5" thickBot="1" x14ac:dyDescent="0.25">
      <c r="A36" s="978"/>
      <c r="B36" s="1019"/>
      <c r="C36" s="71" t="s">
        <v>38</v>
      </c>
      <c r="D36" s="973" t="s">
        <v>338</v>
      </c>
      <c r="E36" s="974"/>
      <c r="F36" s="275"/>
      <c r="G36" s="84">
        <f t="shared" si="3"/>
        <v>24</v>
      </c>
      <c r="H36" s="84"/>
      <c r="I36" s="93">
        <f t="shared" si="9"/>
        <v>0</v>
      </c>
      <c r="J36" s="93"/>
      <c r="K36" s="93"/>
      <c r="L36" s="93"/>
      <c r="M36" s="358"/>
      <c r="N36" s="93"/>
    </row>
    <row r="37" spans="1:14" ht="25.5" customHeight="1" thickBot="1" x14ac:dyDescent="0.25">
      <c r="A37" s="978"/>
      <c r="B37" s="1019"/>
      <c r="C37" s="71" t="s">
        <v>40</v>
      </c>
      <c r="D37" s="973" t="s">
        <v>339</v>
      </c>
      <c r="E37" s="974"/>
      <c r="F37" s="275" t="s">
        <v>564</v>
      </c>
      <c r="G37" s="84">
        <f t="shared" si="3"/>
        <v>25</v>
      </c>
      <c r="H37" s="84"/>
      <c r="I37" s="94">
        <f t="shared" si="9"/>
        <v>0</v>
      </c>
      <c r="J37" s="93"/>
      <c r="K37" s="93"/>
      <c r="L37" s="93"/>
      <c r="M37" s="358"/>
      <c r="N37" s="93"/>
    </row>
    <row r="38" spans="1:14" ht="25.5" customHeight="1" thickBot="1" x14ac:dyDescent="0.25">
      <c r="A38" s="978"/>
      <c r="B38" s="1019"/>
      <c r="C38" s="71" t="s">
        <v>42</v>
      </c>
      <c r="D38" s="973" t="s">
        <v>340</v>
      </c>
      <c r="E38" s="974"/>
      <c r="F38" s="275" t="s">
        <v>565</v>
      </c>
      <c r="G38" s="84">
        <f t="shared" si="3"/>
        <v>26</v>
      </c>
      <c r="H38" s="84"/>
      <c r="I38" s="93">
        <f t="shared" si="9"/>
        <v>0</v>
      </c>
      <c r="J38" s="93"/>
      <c r="K38" s="93"/>
      <c r="L38" s="93"/>
      <c r="M38" s="358"/>
      <c r="N38" s="93"/>
    </row>
    <row r="39" spans="1:14" ht="13.5" thickBot="1" x14ac:dyDescent="0.25">
      <c r="A39" s="978"/>
      <c r="B39" s="1020"/>
      <c r="C39" s="71" t="s">
        <v>28</v>
      </c>
      <c r="D39" s="973" t="s">
        <v>341</v>
      </c>
      <c r="E39" s="974"/>
      <c r="F39" s="275" t="s">
        <v>566</v>
      </c>
      <c r="G39" s="84">
        <f t="shared" si="3"/>
        <v>27</v>
      </c>
      <c r="H39" s="84"/>
      <c r="I39" s="93">
        <f t="shared" si="9"/>
        <v>0</v>
      </c>
      <c r="J39" s="93"/>
      <c r="K39" s="93"/>
      <c r="L39" s="93"/>
      <c r="M39" s="358"/>
      <c r="N39" s="93"/>
    </row>
    <row r="40" spans="1:14" ht="13.5" thickBot="1" x14ac:dyDescent="0.25">
      <c r="A40" s="979"/>
      <c r="B40" s="71" t="s">
        <v>17</v>
      </c>
      <c r="C40" s="71"/>
      <c r="D40" s="973" t="s">
        <v>115</v>
      </c>
      <c r="E40" s="974"/>
      <c r="F40" s="275"/>
      <c r="G40" s="84">
        <f t="shared" si="3"/>
        <v>28</v>
      </c>
      <c r="H40" s="84"/>
      <c r="I40" s="93">
        <f t="shared" si="9"/>
        <v>0</v>
      </c>
      <c r="J40" s="93"/>
      <c r="K40" s="93"/>
      <c r="L40" s="93"/>
      <c r="M40" s="358"/>
      <c r="N40" s="93"/>
    </row>
    <row r="41" spans="1:14" ht="13.5" thickBot="1" x14ac:dyDescent="0.25">
      <c r="A41" s="87" t="s">
        <v>23</v>
      </c>
      <c r="B41" s="1023" t="s">
        <v>463</v>
      </c>
      <c r="C41" s="1024"/>
      <c r="D41" s="1024"/>
      <c r="E41" s="1025"/>
      <c r="F41" s="292"/>
      <c r="G41" s="284">
        <f t="shared" si="3"/>
        <v>29</v>
      </c>
      <c r="H41" s="284"/>
      <c r="I41" s="88">
        <f t="shared" ref="I41:N41" si="10">I42+I182+I190</f>
        <v>2594011.66444</v>
      </c>
      <c r="J41" s="88">
        <f t="shared" si="10"/>
        <v>574287.09064000007</v>
      </c>
      <c r="K41" s="88">
        <f t="shared" si="10"/>
        <v>739666.03236000007</v>
      </c>
      <c r="L41" s="88">
        <f t="shared" si="10"/>
        <v>573435.23236000002</v>
      </c>
      <c r="M41" s="353">
        <f t="shared" si="10"/>
        <v>706623.30908000004</v>
      </c>
      <c r="N41" s="88">
        <f t="shared" si="10"/>
        <v>0</v>
      </c>
    </row>
    <row r="42" spans="1:14" ht="21" customHeight="1" thickBot="1" x14ac:dyDescent="0.25">
      <c r="A42" s="977"/>
      <c r="B42" s="293" t="s">
        <v>4</v>
      </c>
      <c r="C42" s="1026" t="s">
        <v>464</v>
      </c>
      <c r="D42" s="1027"/>
      <c r="E42" s="1028"/>
      <c r="F42" s="277"/>
      <c r="G42" s="97">
        <f t="shared" si="3"/>
        <v>30</v>
      </c>
      <c r="H42" s="97"/>
      <c r="I42" s="98">
        <f t="shared" ref="I42:N42" si="11">I43+I115+I131+I165</f>
        <v>2594011.66444</v>
      </c>
      <c r="J42" s="98">
        <f t="shared" si="11"/>
        <v>574287.09064000007</v>
      </c>
      <c r="K42" s="98">
        <f t="shared" si="11"/>
        <v>739666.03236000007</v>
      </c>
      <c r="L42" s="98">
        <f t="shared" si="11"/>
        <v>573435.23236000002</v>
      </c>
      <c r="M42" s="361">
        <f t="shared" si="11"/>
        <v>706623.30908000004</v>
      </c>
      <c r="N42" s="98">
        <f t="shared" si="11"/>
        <v>0</v>
      </c>
    </row>
    <row r="43" spans="1:14" ht="22.5" customHeight="1" thickBot="1" x14ac:dyDescent="0.25">
      <c r="A43" s="978"/>
      <c r="B43" s="1029"/>
      <c r="C43" s="1026" t="s">
        <v>473</v>
      </c>
      <c r="D43" s="1027"/>
      <c r="E43" s="1028"/>
      <c r="F43" s="277"/>
      <c r="G43" s="97">
        <f t="shared" si="3"/>
        <v>31</v>
      </c>
      <c r="H43" s="97"/>
      <c r="I43" s="98">
        <f t="shared" ref="I43:N43" si="12">I44+I65+I75</f>
        <v>979000</v>
      </c>
      <c r="J43" s="98">
        <f t="shared" si="12"/>
        <v>234750</v>
      </c>
      <c r="K43" s="98">
        <f t="shared" si="12"/>
        <v>254750</v>
      </c>
      <c r="L43" s="98">
        <f t="shared" si="12"/>
        <v>194750</v>
      </c>
      <c r="M43" s="361">
        <f t="shared" si="12"/>
        <v>294750</v>
      </c>
      <c r="N43" s="98">
        <f t="shared" si="12"/>
        <v>0</v>
      </c>
    </row>
    <row r="44" spans="1:14" ht="13.5" thickBot="1" x14ac:dyDescent="0.25">
      <c r="A44" s="978"/>
      <c r="B44" s="1030"/>
      <c r="C44" s="294" t="s">
        <v>265</v>
      </c>
      <c r="D44" s="986" t="s">
        <v>342</v>
      </c>
      <c r="E44" s="988"/>
      <c r="F44" s="276"/>
      <c r="G44" s="97">
        <f t="shared" si="3"/>
        <v>32</v>
      </c>
      <c r="H44" s="97"/>
      <c r="I44" s="100">
        <f t="shared" ref="I44:N44" si="13">I45+I46+I57+I58+I64</f>
        <v>910000</v>
      </c>
      <c r="J44" s="100">
        <f t="shared" si="13"/>
        <v>217500</v>
      </c>
      <c r="K44" s="100">
        <f t="shared" si="13"/>
        <v>237500</v>
      </c>
      <c r="L44" s="100">
        <f t="shared" si="13"/>
        <v>177500</v>
      </c>
      <c r="M44" s="362">
        <f t="shared" si="13"/>
        <v>277500</v>
      </c>
      <c r="N44" s="100">
        <f t="shared" si="13"/>
        <v>0</v>
      </c>
    </row>
    <row r="45" spans="1:14" ht="13.5" thickBot="1" x14ac:dyDescent="0.25">
      <c r="A45" s="978"/>
      <c r="B45" s="1030"/>
      <c r="C45" s="71" t="s">
        <v>27</v>
      </c>
      <c r="D45" s="973" t="s">
        <v>227</v>
      </c>
      <c r="E45" s="974"/>
      <c r="F45" s="275" t="s">
        <v>567</v>
      </c>
      <c r="G45" s="84">
        <f t="shared" si="3"/>
        <v>33</v>
      </c>
      <c r="H45" s="84"/>
      <c r="I45" s="89">
        <f t="shared" ref="I45:I63" si="14">SUM(J45:M45)</f>
        <v>4800</v>
      </c>
      <c r="J45" s="89">
        <v>1200</v>
      </c>
      <c r="K45" s="89">
        <v>1200</v>
      </c>
      <c r="L45" s="89">
        <v>1200</v>
      </c>
      <c r="M45" s="113">
        <v>1200</v>
      </c>
      <c r="N45" s="89"/>
    </row>
    <row r="46" spans="1:14" ht="13.5" thickBot="1" x14ac:dyDescent="0.25">
      <c r="A46" s="978"/>
      <c r="B46" s="1030"/>
      <c r="C46" s="71" t="s">
        <v>38</v>
      </c>
      <c r="D46" s="973" t="s">
        <v>267</v>
      </c>
      <c r="E46" s="974"/>
      <c r="F46" s="275" t="s">
        <v>568</v>
      </c>
      <c r="G46" s="84">
        <f t="shared" si="3"/>
        <v>34</v>
      </c>
      <c r="H46" s="84"/>
      <c r="I46" s="89">
        <f t="shared" si="14"/>
        <v>349200</v>
      </c>
      <c r="J46" s="89">
        <f t="shared" ref="J46:M46" si="15">J47+J54</f>
        <v>77300</v>
      </c>
      <c r="K46" s="89">
        <f t="shared" si="15"/>
        <v>97300</v>
      </c>
      <c r="L46" s="89">
        <f t="shared" si="15"/>
        <v>47300</v>
      </c>
      <c r="M46" s="89">
        <f t="shared" si="15"/>
        <v>127300</v>
      </c>
      <c r="N46" s="89"/>
    </row>
    <row r="47" spans="1:14" ht="13.5" thickBot="1" x14ac:dyDescent="0.25">
      <c r="A47" s="978"/>
      <c r="B47" s="1030"/>
      <c r="C47" s="71"/>
      <c r="D47" s="71" t="s">
        <v>76</v>
      </c>
      <c r="E47" s="71" t="s">
        <v>569</v>
      </c>
      <c r="F47" s="86">
        <v>602</v>
      </c>
      <c r="G47" s="84">
        <f t="shared" si="3"/>
        <v>35</v>
      </c>
      <c r="H47" s="84"/>
      <c r="I47" s="89">
        <f t="shared" si="14"/>
        <v>313200</v>
      </c>
      <c r="J47" s="89">
        <f>SUM(J48:J53)</f>
        <v>68300</v>
      </c>
      <c r="K47" s="89">
        <f>SUM(K48:K53)</f>
        <v>88300</v>
      </c>
      <c r="L47" s="89">
        <f>SUM(L48:L53)</f>
        <v>38300</v>
      </c>
      <c r="M47" s="113">
        <f>SUM(M48:M53)</f>
        <v>118300</v>
      </c>
      <c r="N47" s="89">
        <f>SUM(N48:N53)</f>
        <v>0</v>
      </c>
    </row>
    <row r="48" spans="1:14" ht="13.5" thickBot="1" x14ac:dyDescent="0.25">
      <c r="A48" s="978"/>
      <c r="B48" s="1030"/>
      <c r="C48" s="295"/>
      <c r="D48" s="295"/>
      <c r="E48" s="71" t="s">
        <v>570</v>
      </c>
      <c r="F48" s="296" t="s">
        <v>571</v>
      </c>
      <c r="G48" s="84"/>
      <c r="H48" s="84"/>
      <c r="I48" s="89">
        <f t="shared" si="14"/>
        <v>200000</v>
      </c>
      <c r="J48" s="89">
        <v>40000</v>
      </c>
      <c r="K48" s="89">
        <v>60000</v>
      </c>
      <c r="L48" s="89">
        <v>20000</v>
      </c>
      <c r="M48" s="113">
        <v>80000</v>
      </c>
      <c r="N48" s="89"/>
    </row>
    <row r="49" spans="1:14" ht="13.5" thickBot="1" x14ac:dyDescent="0.25">
      <c r="A49" s="978"/>
      <c r="B49" s="1030"/>
      <c r="C49" s="256"/>
      <c r="D49" s="256"/>
      <c r="E49" s="71" t="s">
        <v>572</v>
      </c>
      <c r="F49" s="296">
        <v>6024</v>
      </c>
      <c r="G49" s="84"/>
      <c r="H49" s="84"/>
      <c r="I49" s="89">
        <f t="shared" si="14"/>
        <v>6000</v>
      </c>
      <c r="J49" s="89">
        <v>1500</v>
      </c>
      <c r="K49" s="89">
        <v>1500</v>
      </c>
      <c r="L49" s="89">
        <v>1500</v>
      </c>
      <c r="M49" s="113">
        <v>1500</v>
      </c>
      <c r="N49" s="89"/>
    </row>
    <row r="50" spans="1:14" ht="13.5" thickBot="1" x14ac:dyDescent="0.25">
      <c r="A50" s="978"/>
      <c r="B50" s="1030"/>
      <c r="C50" s="256"/>
      <c r="D50" s="256"/>
      <c r="E50" s="71" t="s">
        <v>573</v>
      </c>
      <c r="F50" s="296">
        <v>6027</v>
      </c>
      <c r="G50" s="84"/>
      <c r="H50" s="84"/>
      <c r="I50" s="89">
        <f t="shared" si="14"/>
        <v>104000</v>
      </c>
      <c r="J50" s="89">
        <v>26000</v>
      </c>
      <c r="K50" s="89">
        <v>26000</v>
      </c>
      <c r="L50" s="89">
        <v>16000</v>
      </c>
      <c r="M50" s="113">
        <v>36000</v>
      </c>
      <c r="N50" s="89"/>
    </row>
    <row r="51" spans="1:14" ht="13.5" thickBot="1" x14ac:dyDescent="0.25">
      <c r="A51" s="978"/>
      <c r="B51" s="1030"/>
      <c r="C51" s="256"/>
      <c r="D51" s="256"/>
      <c r="E51" s="71" t="s">
        <v>574</v>
      </c>
      <c r="F51" s="296" t="s">
        <v>575</v>
      </c>
      <c r="G51" s="84"/>
      <c r="H51" s="84"/>
      <c r="I51" s="89">
        <f t="shared" si="14"/>
        <v>3200</v>
      </c>
      <c r="J51" s="89">
        <v>800</v>
      </c>
      <c r="K51" s="89">
        <v>800</v>
      </c>
      <c r="L51" s="89">
        <v>800</v>
      </c>
      <c r="M51" s="113">
        <v>800</v>
      </c>
      <c r="N51" s="89"/>
    </row>
    <row r="52" spans="1:14" ht="13.5" thickBot="1" x14ac:dyDescent="0.25">
      <c r="A52" s="978"/>
      <c r="B52" s="1030"/>
      <c r="C52" s="256"/>
      <c r="D52" s="256"/>
      <c r="E52" s="256" t="s">
        <v>576</v>
      </c>
      <c r="F52" s="296">
        <v>608</v>
      </c>
      <c r="G52" s="84"/>
      <c r="H52" s="84"/>
      <c r="I52" s="89">
        <f t="shared" si="14"/>
        <v>0</v>
      </c>
      <c r="J52" s="89"/>
      <c r="K52" s="89"/>
      <c r="L52" s="89"/>
      <c r="M52" s="113"/>
      <c r="N52" s="89"/>
    </row>
    <row r="53" spans="1:14" ht="13.5" thickBot="1" x14ac:dyDescent="0.25">
      <c r="A53" s="978"/>
      <c r="B53" s="1030"/>
      <c r="C53" s="297"/>
      <c r="D53" s="297"/>
      <c r="E53" s="297" t="s">
        <v>577</v>
      </c>
      <c r="F53" s="296">
        <v>609</v>
      </c>
      <c r="G53" s="84"/>
      <c r="H53" s="84"/>
      <c r="I53" s="89">
        <f t="shared" si="14"/>
        <v>0</v>
      </c>
      <c r="J53" s="89"/>
      <c r="K53" s="89"/>
      <c r="L53" s="89"/>
      <c r="M53" s="113"/>
      <c r="N53" s="89"/>
    </row>
    <row r="54" spans="1:14" ht="13.5" thickBot="1" x14ac:dyDescent="0.25">
      <c r="A54" s="978"/>
      <c r="B54" s="1030"/>
      <c r="C54" s="71"/>
      <c r="D54" s="71" t="s">
        <v>99</v>
      </c>
      <c r="E54" s="71" t="s">
        <v>269</v>
      </c>
      <c r="F54" s="86"/>
      <c r="G54" s="84">
        <f>G47+1</f>
        <v>36</v>
      </c>
      <c r="H54" s="84"/>
      <c r="I54" s="89">
        <f t="shared" si="14"/>
        <v>36000</v>
      </c>
      <c r="J54" s="89">
        <f>SUM(J55:J56)</f>
        <v>9000</v>
      </c>
      <c r="K54" s="89">
        <f>SUM(K55:K56)</f>
        <v>9000</v>
      </c>
      <c r="L54" s="89">
        <f>SUM(L55:L56)</f>
        <v>9000</v>
      </c>
      <c r="M54" s="113">
        <f>SUM(M55:M56)</f>
        <v>9000</v>
      </c>
      <c r="N54" s="89">
        <f>SUM(N55:N56)</f>
        <v>0</v>
      </c>
    </row>
    <row r="55" spans="1:14" ht="13.5" thickBot="1" x14ac:dyDescent="0.25">
      <c r="A55" s="978"/>
      <c r="B55" s="1030"/>
      <c r="C55" s="298"/>
      <c r="D55" s="300"/>
      <c r="E55" s="71" t="s">
        <v>578</v>
      </c>
      <c r="F55" s="296">
        <v>6022</v>
      </c>
      <c r="G55" s="84"/>
      <c r="H55" s="84"/>
      <c r="I55" s="89">
        <f t="shared" si="14"/>
        <v>16000</v>
      </c>
      <c r="J55" s="89">
        <v>4000</v>
      </c>
      <c r="K55" s="89">
        <v>4000</v>
      </c>
      <c r="L55" s="89">
        <v>4000</v>
      </c>
      <c r="M55" s="113">
        <v>4000</v>
      </c>
      <c r="N55" s="89"/>
    </row>
    <row r="56" spans="1:14" ht="13.5" thickBot="1" x14ac:dyDescent="0.25">
      <c r="A56" s="978"/>
      <c r="B56" s="1030"/>
      <c r="C56" s="298"/>
      <c r="D56" s="300"/>
      <c r="E56" s="71" t="s">
        <v>579</v>
      </c>
      <c r="F56" s="296">
        <v>604</v>
      </c>
      <c r="G56" s="84"/>
      <c r="H56" s="84"/>
      <c r="I56" s="89">
        <f t="shared" si="14"/>
        <v>20000</v>
      </c>
      <c r="J56" s="89">
        <v>5000</v>
      </c>
      <c r="K56" s="89">
        <v>5000</v>
      </c>
      <c r="L56" s="89">
        <v>5000</v>
      </c>
      <c r="M56" s="113">
        <v>5000</v>
      </c>
      <c r="N56" s="89"/>
    </row>
    <row r="57" spans="1:14" ht="13.5" thickBot="1" x14ac:dyDescent="0.25">
      <c r="A57" s="978"/>
      <c r="B57" s="1030"/>
      <c r="C57" s="71" t="s">
        <v>40</v>
      </c>
      <c r="D57" s="973" t="s">
        <v>343</v>
      </c>
      <c r="E57" s="974"/>
      <c r="F57" s="275">
        <v>603</v>
      </c>
      <c r="G57" s="84">
        <f>G54+1</f>
        <v>37</v>
      </c>
      <c r="H57" s="84"/>
      <c r="I57" s="89">
        <f t="shared" si="14"/>
        <v>24000</v>
      </c>
      <c r="J57" s="89">
        <v>6000</v>
      </c>
      <c r="K57" s="89">
        <v>6000</v>
      </c>
      <c r="L57" s="89">
        <v>6000</v>
      </c>
      <c r="M57" s="113">
        <v>6000</v>
      </c>
      <c r="N57" s="89"/>
    </row>
    <row r="58" spans="1:14" ht="13.5" thickBot="1" x14ac:dyDescent="0.25">
      <c r="A58" s="978"/>
      <c r="B58" s="1030"/>
      <c r="C58" s="71" t="s">
        <v>42</v>
      </c>
      <c r="D58" s="973" t="s">
        <v>271</v>
      </c>
      <c r="E58" s="974"/>
      <c r="F58" s="275">
        <v>605</v>
      </c>
      <c r="G58" s="84">
        <f t="shared" si="3"/>
        <v>38</v>
      </c>
      <c r="H58" s="84"/>
      <c r="I58" s="89">
        <f t="shared" si="14"/>
        <v>532000</v>
      </c>
      <c r="J58" s="89">
        <f>SUM(J59:J63)</f>
        <v>133000</v>
      </c>
      <c r="K58" s="89">
        <f>SUM(K59:K63)</f>
        <v>133000</v>
      </c>
      <c r="L58" s="89">
        <f>SUM(L59:L63)</f>
        <v>123000</v>
      </c>
      <c r="M58" s="113">
        <f>SUM(M59:M63)</f>
        <v>143000</v>
      </c>
      <c r="N58" s="89">
        <f>SUM(N59:N63)</f>
        <v>0</v>
      </c>
    </row>
    <row r="59" spans="1:14" ht="13.5" thickBot="1" x14ac:dyDescent="0.25">
      <c r="A59" s="978"/>
      <c r="B59" s="1030"/>
      <c r="C59" s="295"/>
      <c r="D59" s="295"/>
      <c r="E59" s="256" t="s">
        <v>580</v>
      </c>
      <c r="F59" s="296" t="s">
        <v>581</v>
      </c>
      <c r="G59" s="84"/>
      <c r="H59" s="84"/>
      <c r="I59" s="89">
        <f t="shared" si="14"/>
        <v>76000</v>
      </c>
      <c r="J59" s="89">
        <v>19000</v>
      </c>
      <c r="K59" s="89">
        <v>19000</v>
      </c>
      <c r="L59" s="89">
        <v>19000</v>
      </c>
      <c r="M59" s="113">
        <v>19000</v>
      </c>
      <c r="N59" s="89"/>
    </row>
    <row r="60" spans="1:14" ht="13.5" thickBot="1" x14ac:dyDescent="0.25">
      <c r="A60" s="978"/>
      <c r="B60" s="1030"/>
      <c r="C60" s="256"/>
      <c r="D60" s="256"/>
      <c r="E60" s="256" t="s">
        <v>582</v>
      </c>
      <c r="F60" s="296" t="s">
        <v>583</v>
      </c>
      <c r="G60" s="84"/>
      <c r="H60" s="84"/>
      <c r="I60" s="89">
        <f t="shared" si="14"/>
        <v>200000</v>
      </c>
      <c r="J60" s="89">
        <v>50000</v>
      </c>
      <c r="K60" s="89">
        <v>50000</v>
      </c>
      <c r="L60" s="89">
        <v>50000</v>
      </c>
      <c r="M60" s="113">
        <v>50000</v>
      </c>
      <c r="N60" s="89"/>
    </row>
    <row r="61" spans="1:14" ht="13.5" thickBot="1" x14ac:dyDescent="0.25">
      <c r="A61" s="978"/>
      <c r="B61" s="1030"/>
      <c r="C61" s="256"/>
      <c r="D61" s="256"/>
      <c r="E61" s="295" t="s">
        <v>584</v>
      </c>
      <c r="F61" s="296" t="s">
        <v>585</v>
      </c>
      <c r="G61" s="84"/>
      <c r="H61" s="84"/>
      <c r="I61" s="89">
        <f t="shared" si="14"/>
        <v>256000</v>
      </c>
      <c r="J61" s="89">
        <v>64000</v>
      </c>
      <c r="K61" s="89">
        <v>64000</v>
      </c>
      <c r="L61" s="89">
        <v>54000</v>
      </c>
      <c r="M61" s="113">
        <v>74000</v>
      </c>
      <c r="N61" s="89"/>
    </row>
    <row r="62" spans="1:14" ht="13.5" thickBot="1" x14ac:dyDescent="0.25">
      <c r="A62" s="978"/>
      <c r="B62" s="1030"/>
      <c r="C62" s="256"/>
      <c r="D62" s="256"/>
      <c r="E62" s="256" t="s">
        <v>586</v>
      </c>
      <c r="F62" s="296" t="s">
        <v>587</v>
      </c>
      <c r="G62" s="84"/>
      <c r="H62" s="84"/>
      <c r="I62" s="89">
        <f t="shared" si="14"/>
        <v>0</v>
      </c>
      <c r="J62" s="89"/>
      <c r="K62" s="89"/>
      <c r="L62" s="89"/>
      <c r="M62" s="113"/>
      <c r="N62" s="89"/>
    </row>
    <row r="63" spans="1:14" ht="13.5" thickBot="1" x14ac:dyDescent="0.25">
      <c r="A63" s="978"/>
      <c r="B63" s="1030"/>
      <c r="C63" s="297"/>
      <c r="D63" s="297"/>
      <c r="E63" s="297" t="s">
        <v>588</v>
      </c>
      <c r="F63" s="296" t="s">
        <v>589</v>
      </c>
      <c r="G63" s="84"/>
      <c r="H63" s="84"/>
      <c r="I63" s="89">
        <f t="shared" si="14"/>
        <v>0</v>
      </c>
      <c r="J63" s="89"/>
      <c r="K63" s="89"/>
      <c r="L63" s="89"/>
      <c r="M63" s="113"/>
      <c r="N63" s="89"/>
    </row>
    <row r="64" spans="1:14" ht="13.5" thickBot="1" x14ac:dyDescent="0.25">
      <c r="A64" s="978"/>
      <c r="B64" s="1030"/>
      <c r="C64" s="71" t="s">
        <v>28</v>
      </c>
      <c r="D64" s="973" t="s">
        <v>272</v>
      </c>
      <c r="E64" s="974"/>
      <c r="F64" s="275"/>
      <c r="G64" s="84">
        <f>G58+1</f>
        <v>39</v>
      </c>
      <c r="H64" s="84"/>
      <c r="I64" s="89">
        <v>0</v>
      </c>
      <c r="J64" s="89">
        <v>0</v>
      </c>
      <c r="K64" s="89">
        <v>0</v>
      </c>
      <c r="L64" s="89">
        <v>0</v>
      </c>
      <c r="M64" s="113">
        <v>0</v>
      </c>
      <c r="N64" s="89"/>
    </row>
    <row r="65" spans="1:14" ht="23.25" customHeight="1" thickBot="1" x14ac:dyDescent="0.25">
      <c r="A65" s="978"/>
      <c r="B65" s="1030"/>
      <c r="C65" s="294" t="s">
        <v>273</v>
      </c>
      <c r="D65" s="986" t="s">
        <v>465</v>
      </c>
      <c r="E65" s="988"/>
      <c r="F65" s="276"/>
      <c r="G65" s="97">
        <f t="shared" si="3"/>
        <v>40</v>
      </c>
      <c r="H65" s="97"/>
      <c r="I65" s="100">
        <f t="shared" ref="I65:M65" si="16">I66+I70+I74</f>
        <v>27000</v>
      </c>
      <c r="J65" s="100">
        <f t="shared" si="16"/>
        <v>6750</v>
      </c>
      <c r="K65" s="100">
        <f t="shared" si="16"/>
        <v>6750</v>
      </c>
      <c r="L65" s="100">
        <f t="shared" si="16"/>
        <v>6750</v>
      </c>
      <c r="M65" s="100">
        <f t="shared" si="16"/>
        <v>6750</v>
      </c>
      <c r="N65" s="100">
        <f t="shared" ref="N65" si="17">SUM(N66:N70)+N74</f>
        <v>0</v>
      </c>
    </row>
    <row r="66" spans="1:14" ht="13.5" thickBot="1" x14ac:dyDescent="0.25">
      <c r="A66" s="978"/>
      <c r="B66" s="1030"/>
      <c r="C66" s="71" t="s">
        <v>27</v>
      </c>
      <c r="D66" s="973" t="s">
        <v>274</v>
      </c>
      <c r="E66" s="974"/>
      <c r="F66" s="275">
        <v>611</v>
      </c>
      <c r="G66" s="84">
        <f t="shared" si="3"/>
        <v>41</v>
      </c>
      <c r="H66" s="84"/>
      <c r="I66" s="89">
        <f t="shared" ref="I66:I74" si="18">SUM(J66:M66)</f>
        <v>25200</v>
      </c>
      <c r="J66" s="89">
        <f>SUM(J67:J69)</f>
        <v>6300</v>
      </c>
      <c r="K66" s="89">
        <f>SUM(K67:K69)</f>
        <v>6300</v>
      </c>
      <c r="L66" s="89">
        <f>SUM(L67:L69)</f>
        <v>6300</v>
      </c>
      <c r="M66" s="113">
        <f>SUM(M67:M69)</f>
        <v>6300</v>
      </c>
      <c r="N66" s="89">
        <f>SUM(N67:N69)</f>
        <v>0</v>
      </c>
    </row>
    <row r="67" spans="1:14" ht="13.5" thickBot="1" x14ac:dyDescent="0.25">
      <c r="A67" s="978"/>
      <c r="B67" s="1030"/>
      <c r="C67" s="71"/>
      <c r="D67" s="278"/>
      <c r="E67" s="279" t="s">
        <v>590</v>
      </c>
      <c r="F67" s="296" t="s">
        <v>591</v>
      </c>
      <c r="G67" s="84"/>
      <c r="H67" s="84"/>
      <c r="I67" s="89">
        <f t="shared" si="18"/>
        <v>25200</v>
      </c>
      <c r="J67" s="89">
        <v>6300</v>
      </c>
      <c r="K67" s="89">
        <v>6300</v>
      </c>
      <c r="L67" s="89">
        <v>6300</v>
      </c>
      <c r="M67" s="113">
        <v>6300</v>
      </c>
      <c r="N67" s="89"/>
    </row>
    <row r="68" spans="1:14" ht="13.5" thickBot="1" x14ac:dyDescent="0.25">
      <c r="A68" s="978"/>
      <c r="B68" s="1030"/>
      <c r="C68" s="71"/>
      <c r="D68" s="278"/>
      <c r="E68" s="279" t="s">
        <v>592</v>
      </c>
      <c r="F68" s="296">
        <v>611.01</v>
      </c>
      <c r="G68" s="84"/>
      <c r="H68" s="84"/>
      <c r="I68" s="89">
        <f t="shared" si="18"/>
        <v>0</v>
      </c>
      <c r="J68" s="89"/>
      <c r="K68" s="89"/>
      <c r="L68" s="89"/>
      <c r="M68" s="113"/>
      <c r="N68" s="89"/>
    </row>
    <row r="69" spans="1:14" ht="13.5" thickBot="1" x14ac:dyDescent="0.25">
      <c r="A69" s="978"/>
      <c r="B69" s="1030"/>
      <c r="C69" s="71"/>
      <c r="D69" s="278"/>
      <c r="E69" s="279" t="s">
        <v>593</v>
      </c>
      <c r="F69" s="296" t="s">
        <v>594</v>
      </c>
      <c r="G69" s="84"/>
      <c r="H69" s="84"/>
      <c r="I69" s="89">
        <f t="shared" si="18"/>
        <v>0</v>
      </c>
      <c r="J69" s="89"/>
      <c r="K69" s="89"/>
      <c r="L69" s="89"/>
      <c r="M69" s="113"/>
      <c r="N69" s="89"/>
    </row>
    <row r="70" spans="1:14" ht="13.5" thickBot="1" x14ac:dyDescent="0.25">
      <c r="A70" s="979"/>
      <c r="B70" s="1031"/>
      <c r="C70" s="71" t="s">
        <v>38</v>
      </c>
      <c r="D70" s="973" t="s">
        <v>275</v>
      </c>
      <c r="E70" s="974"/>
      <c r="F70" s="275">
        <v>612</v>
      </c>
      <c r="G70" s="84">
        <f>G66+1</f>
        <v>42</v>
      </c>
      <c r="H70" s="84"/>
      <c r="I70" s="89">
        <f t="shared" si="18"/>
        <v>800</v>
      </c>
      <c r="J70" s="89">
        <f>J71+J73</f>
        <v>200</v>
      </c>
      <c r="K70" s="89">
        <f>K71+K73</f>
        <v>200</v>
      </c>
      <c r="L70" s="89">
        <f>L71+L73</f>
        <v>200</v>
      </c>
      <c r="M70" s="113">
        <f>M71+M73</f>
        <v>200</v>
      </c>
      <c r="N70" s="89">
        <f>N71+N73</f>
        <v>0</v>
      </c>
    </row>
    <row r="71" spans="1:14" ht="13.5" thickBot="1" x14ac:dyDescent="0.25">
      <c r="A71" s="977"/>
      <c r="B71" s="1018"/>
      <c r="C71" s="71"/>
      <c r="D71" s="71" t="s">
        <v>76</v>
      </c>
      <c r="E71" s="71" t="s">
        <v>656</v>
      </c>
      <c r="F71" s="86"/>
      <c r="G71" s="84">
        <f t="shared" si="3"/>
        <v>43</v>
      </c>
      <c r="H71" s="84"/>
      <c r="I71" s="89">
        <f t="shared" si="18"/>
        <v>0</v>
      </c>
      <c r="J71" s="89"/>
      <c r="K71" s="89"/>
      <c r="L71" s="89"/>
      <c r="M71" s="113"/>
      <c r="N71" s="89"/>
    </row>
    <row r="72" spans="1:14" ht="13.5" thickBot="1" x14ac:dyDescent="0.25">
      <c r="A72" s="978"/>
      <c r="B72" s="1019"/>
      <c r="C72" s="71"/>
      <c r="D72" s="71"/>
      <c r="E72" s="86" t="s">
        <v>595</v>
      </c>
      <c r="F72" s="286" t="s">
        <v>596</v>
      </c>
      <c r="G72" s="84"/>
      <c r="H72" s="84"/>
      <c r="I72" s="89">
        <f t="shared" si="18"/>
        <v>0</v>
      </c>
      <c r="J72" s="89"/>
      <c r="K72" s="89"/>
      <c r="L72" s="89"/>
      <c r="M72" s="113"/>
      <c r="N72" s="89"/>
    </row>
    <row r="73" spans="1:14" ht="13.5" thickBot="1" x14ac:dyDescent="0.25">
      <c r="A73" s="978"/>
      <c r="B73" s="1019"/>
      <c r="C73" s="71"/>
      <c r="D73" s="71" t="s">
        <v>99</v>
      </c>
      <c r="E73" s="71" t="s">
        <v>158</v>
      </c>
      <c r="F73" s="86">
        <v>612</v>
      </c>
      <c r="G73" s="84">
        <f>G71+1</f>
        <v>44</v>
      </c>
      <c r="H73" s="84"/>
      <c r="I73" s="89">
        <f t="shared" si="18"/>
        <v>800</v>
      </c>
      <c r="J73" s="89">
        <v>200</v>
      </c>
      <c r="K73" s="89">
        <v>200</v>
      </c>
      <c r="L73" s="89">
        <v>200</v>
      </c>
      <c r="M73" s="113">
        <v>200</v>
      </c>
      <c r="N73" s="89"/>
    </row>
    <row r="74" spans="1:14" ht="13.5" thickBot="1" x14ac:dyDescent="0.25">
      <c r="A74" s="978"/>
      <c r="B74" s="1019"/>
      <c r="C74" s="71" t="s">
        <v>40</v>
      </c>
      <c r="D74" s="973" t="s">
        <v>159</v>
      </c>
      <c r="E74" s="974"/>
      <c r="F74" s="301" t="s">
        <v>597</v>
      </c>
      <c r="G74" s="84">
        <f t="shared" si="3"/>
        <v>45</v>
      </c>
      <c r="H74" s="84"/>
      <c r="I74" s="89">
        <f t="shared" si="18"/>
        <v>1000</v>
      </c>
      <c r="J74" s="89">
        <v>250</v>
      </c>
      <c r="K74" s="89">
        <v>250</v>
      </c>
      <c r="L74" s="89">
        <v>250</v>
      </c>
      <c r="M74" s="113">
        <v>250</v>
      </c>
      <c r="N74" s="89"/>
    </row>
    <row r="75" spans="1:14" ht="23.25" customHeight="1" thickBot="1" x14ac:dyDescent="0.25">
      <c r="A75" s="978"/>
      <c r="B75" s="1019"/>
      <c r="C75" s="294" t="s">
        <v>160</v>
      </c>
      <c r="D75" s="986" t="s">
        <v>466</v>
      </c>
      <c r="E75" s="988"/>
      <c r="F75" s="276"/>
      <c r="G75" s="97">
        <f t="shared" si="3"/>
        <v>46</v>
      </c>
      <c r="H75" s="97"/>
      <c r="I75" s="100">
        <f t="shared" ref="I75:N75" si="19">I76+I77+I79+I86+I91+I95+I99+I100+I101+I110</f>
        <v>42000</v>
      </c>
      <c r="J75" s="100">
        <f t="shared" si="19"/>
        <v>10500</v>
      </c>
      <c r="K75" s="100">
        <f t="shared" si="19"/>
        <v>10500</v>
      </c>
      <c r="L75" s="100">
        <f t="shared" si="19"/>
        <v>10500</v>
      </c>
      <c r="M75" s="362">
        <f t="shared" si="19"/>
        <v>10500</v>
      </c>
      <c r="N75" s="100">
        <f t="shared" si="19"/>
        <v>0</v>
      </c>
    </row>
    <row r="76" spans="1:14" ht="13.5" thickBot="1" x14ac:dyDescent="0.25">
      <c r="A76" s="978"/>
      <c r="B76" s="1019"/>
      <c r="C76" s="71" t="s">
        <v>27</v>
      </c>
      <c r="D76" s="1021" t="s">
        <v>161</v>
      </c>
      <c r="E76" s="1022"/>
      <c r="F76" s="302">
        <v>621</v>
      </c>
      <c r="G76" s="84">
        <f t="shared" si="3"/>
        <v>47</v>
      </c>
      <c r="H76" s="84"/>
      <c r="I76" s="242">
        <f>SUM(J76:M76)</f>
        <v>0</v>
      </c>
      <c r="J76" s="101"/>
      <c r="K76" s="101"/>
      <c r="L76" s="101"/>
      <c r="M76" s="363"/>
      <c r="N76" s="101"/>
    </row>
    <row r="77" spans="1:14" ht="13.5" thickBot="1" x14ac:dyDescent="0.25">
      <c r="A77" s="978"/>
      <c r="B77" s="1019"/>
      <c r="C77" s="71" t="s">
        <v>38</v>
      </c>
      <c r="D77" s="1021" t="s">
        <v>162</v>
      </c>
      <c r="E77" s="1022"/>
      <c r="F77" s="302">
        <v>622</v>
      </c>
      <c r="G77" s="84">
        <f t="shared" ref="G77:G140" si="20">G76+1</f>
        <v>48</v>
      </c>
      <c r="H77" s="84"/>
      <c r="I77" s="242">
        <f>SUM(J77:M77)</f>
        <v>0</v>
      </c>
      <c r="J77" s="101"/>
      <c r="K77" s="101"/>
      <c r="L77" s="101"/>
      <c r="M77" s="363"/>
      <c r="N77" s="101"/>
    </row>
    <row r="78" spans="1:14" ht="13.5" thickBot="1" x14ac:dyDescent="0.25">
      <c r="A78" s="978"/>
      <c r="B78" s="1019"/>
      <c r="C78" s="71"/>
      <c r="D78" s="1021" t="s">
        <v>381</v>
      </c>
      <c r="E78" s="1022"/>
      <c r="F78" s="302"/>
      <c r="G78" s="84">
        <f t="shared" si="20"/>
        <v>49</v>
      </c>
      <c r="H78" s="84"/>
      <c r="I78" s="242">
        <f>SUM(J78:M78)</f>
        <v>0</v>
      </c>
      <c r="J78" s="101"/>
      <c r="K78" s="101"/>
      <c r="L78" s="101"/>
      <c r="M78" s="363"/>
      <c r="N78" s="101"/>
    </row>
    <row r="79" spans="1:14" ht="13.5" thickBot="1" x14ac:dyDescent="0.25">
      <c r="A79" s="978"/>
      <c r="B79" s="1019"/>
      <c r="C79" s="71" t="s">
        <v>40</v>
      </c>
      <c r="D79" s="973" t="s">
        <v>432</v>
      </c>
      <c r="E79" s="974"/>
      <c r="F79" s="275"/>
      <c r="G79" s="84">
        <f t="shared" si="20"/>
        <v>50</v>
      </c>
      <c r="H79" s="84"/>
      <c r="I79" s="242">
        <f t="shared" ref="I79:N79" si="21">I80+I82</f>
        <v>0</v>
      </c>
      <c r="J79" s="89">
        <f t="shared" si="21"/>
        <v>0</v>
      </c>
      <c r="K79" s="89">
        <f t="shared" si="21"/>
        <v>0</v>
      </c>
      <c r="L79" s="89">
        <f t="shared" si="21"/>
        <v>0</v>
      </c>
      <c r="M79" s="113">
        <f t="shared" si="21"/>
        <v>0</v>
      </c>
      <c r="N79" s="89">
        <f t="shared" si="21"/>
        <v>0</v>
      </c>
    </row>
    <row r="80" spans="1:14" ht="13.5" thickBot="1" x14ac:dyDescent="0.25">
      <c r="A80" s="978"/>
      <c r="B80" s="1019"/>
      <c r="C80" s="71"/>
      <c r="D80" s="71" t="s">
        <v>278</v>
      </c>
      <c r="E80" s="71" t="s">
        <v>163</v>
      </c>
      <c r="F80" s="86" t="s">
        <v>598</v>
      </c>
      <c r="G80" s="84">
        <f t="shared" si="20"/>
        <v>51</v>
      </c>
      <c r="H80" s="84"/>
      <c r="I80" s="242">
        <f>SUM(J80:M80)</f>
        <v>0</v>
      </c>
      <c r="J80" s="89"/>
      <c r="K80" s="89"/>
      <c r="L80" s="89"/>
      <c r="M80" s="113"/>
      <c r="N80" s="89"/>
    </row>
    <row r="81" spans="1:14" ht="13.5" thickBot="1" x14ac:dyDescent="0.25">
      <c r="A81" s="978"/>
      <c r="B81" s="1019"/>
      <c r="C81" s="71"/>
      <c r="D81" s="71"/>
      <c r="E81" s="71" t="s">
        <v>164</v>
      </c>
      <c r="F81" s="86"/>
      <c r="G81" s="84">
        <f t="shared" si="20"/>
        <v>52</v>
      </c>
      <c r="H81" s="84"/>
      <c r="I81" s="89">
        <f>SUM(J81:M81)</f>
        <v>0</v>
      </c>
      <c r="J81" s="89"/>
      <c r="K81" s="89"/>
      <c r="L81" s="89"/>
      <c r="M81" s="113"/>
      <c r="N81" s="89"/>
    </row>
    <row r="82" spans="1:14" ht="13.5" thickBot="1" x14ac:dyDescent="0.25">
      <c r="A82" s="978"/>
      <c r="B82" s="1019"/>
      <c r="C82" s="71"/>
      <c r="D82" s="71" t="s">
        <v>165</v>
      </c>
      <c r="E82" s="71" t="s">
        <v>166</v>
      </c>
      <c r="F82" s="86" t="s">
        <v>599</v>
      </c>
      <c r="G82" s="84">
        <f t="shared" si="20"/>
        <v>53</v>
      </c>
      <c r="H82" s="84"/>
      <c r="I82" s="89">
        <f>SUM(J82:M82)</f>
        <v>0</v>
      </c>
      <c r="J82" s="89"/>
      <c r="K82" s="89"/>
      <c r="L82" s="89"/>
      <c r="M82" s="113"/>
      <c r="N82" s="89"/>
    </row>
    <row r="83" spans="1:14" ht="23.25" thickBot="1" x14ac:dyDescent="0.25">
      <c r="A83" s="978"/>
      <c r="B83" s="1019"/>
      <c r="C83" s="71"/>
      <c r="D83" s="71"/>
      <c r="E83" s="71" t="s">
        <v>167</v>
      </c>
      <c r="F83" s="86" t="s">
        <v>22</v>
      </c>
      <c r="G83" s="84">
        <f t="shared" si="20"/>
        <v>54</v>
      </c>
      <c r="H83" s="84"/>
      <c r="I83" s="89">
        <f>SUM(J83:M83)</f>
        <v>0</v>
      </c>
      <c r="J83" s="89"/>
      <c r="K83" s="89"/>
      <c r="L83" s="89"/>
      <c r="M83" s="113"/>
      <c r="N83" s="89"/>
    </row>
    <row r="84" spans="1:14" ht="34.5" thickBot="1" x14ac:dyDescent="0.25">
      <c r="A84" s="978"/>
      <c r="B84" s="1019"/>
      <c r="C84" s="71"/>
      <c r="D84" s="71"/>
      <c r="E84" s="71" t="s">
        <v>168</v>
      </c>
      <c r="F84" s="86" t="s">
        <v>22</v>
      </c>
      <c r="G84" s="84">
        <f t="shared" si="20"/>
        <v>55</v>
      </c>
      <c r="H84" s="84"/>
      <c r="I84" s="89">
        <f>SUM(J84:M84)</f>
        <v>0</v>
      </c>
      <c r="J84" s="89"/>
      <c r="K84" s="89"/>
      <c r="L84" s="89"/>
      <c r="M84" s="113"/>
      <c r="N84" s="89"/>
    </row>
    <row r="85" spans="1:14" ht="13.5" thickBot="1" x14ac:dyDescent="0.25">
      <c r="A85" s="978"/>
      <c r="B85" s="1019"/>
      <c r="C85" s="71"/>
      <c r="D85" s="71"/>
      <c r="E85" s="71" t="s">
        <v>169</v>
      </c>
      <c r="F85" s="86" t="s">
        <v>22</v>
      </c>
      <c r="G85" s="84">
        <f t="shared" si="20"/>
        <v>56</v>
      </c>
      <c r="H85" s="84"/>
      <c r="I85" s="242"/>
      <c r="J85" s="89"/>
      <c r="K85" s="89"/>
      <c r="L85" s="89"/>
      <c r="M85" s="113"/>
      <c r="N85" s="89"/>
    </row>
    <row r="86" spans="1:14" ht="13.5" thickBot="1" x14ac:dyDescent="0.25">
      <c r="A86" s="978"/>
      <c r="B86" s="1019"/>
      <c r="C86" s="71" t="s">
        <v>42</v>
      </c>
      <c r="D86" s="973" t="s">
        <v>433</v>
      </c>
      <c r="E86" s="974"/>
      <c r="F86" s="275">
        <v>6582</v>
      </c>
      <c r="G86" s="84">
        <f t="shared" si="20"/>
        <v>57</v>
      </c>
      <c r="H86" s="84"/>
      <c r="I86" s="242">
        <f t="shared" ref="I86:I95" si="22">SUM(J86:M86)</f>
        <v>0</v>
      </c>
      <c r="J86" s="89">
        <f>J87+J88+J89+J90</f>
        <v>0</v>
      </c>
      <c r="K86" s="89">
        <f>K87+K88+K89+K90</f>
        <v>0</v>
      </c>
      <c r="L86" s="89">
        <f>L87+L88+L89+L90</f>
        <v>0</v>
      </c>
      <c r="M86" s="113">
        <f>M87+M88+M89+M90</f>
        <v>0</v>
      </c>
      <c r="N86" s="89">
        <f>N87+N88+N89+N90</f>
        <v>0</v>
      </c>
    </row>
    <row r="87" spans="1:14" ht="13.5" thickBot="1" x14ac:dyDescent="0.25">
      <c r="A87" s="978"/>
      <c r="B87" s="1019"/>
      <c r="C87" s="71"/>
      <c r="D87" s="102" t="s">
        <v>170</v>
      </c>
      <c r="E87" s="102" t="s">
        <v>236</v>
      </c>
      <c r="F87" s="290" t="s">
        <v>600</v>
      </c>
      <c r="G87" s="84">
        <f t="shared" si="20"/>
        <v>58</v>
      </c>
      <c r="H87" s="84"/>
      <c r="I87" s="242">
        <f t="shared" si="22"/>
        <v>0</v>
      </c>
      <c r="J87" s="101"/>
      <c r="K87" s="101"/>
      <c r="L87" s="101"/>
      <c r="M87" s="363"/>
      <c r="N87" s="101"/>
    </row>
    <row r="88" spans="1:14" ht="13.5" thickBot="1" x14ac:dyDescent="0.25">
      <c r="A88" s="978"/>
      <c r="B88" s="1019"/>
      <c r="C88" s="71"/>
      <c r="D88" s="102" t="s">
        <v>171</v>
      </c>
      <c r="E88" s="102" t="s">
        <v>382</v>
      </c>
      <c r="F88" s="290" t="s">
        <v>601</v>
      </c>
      <c r="G88" s="84">
        <f t="shared" si="20"/>
        <v>59</v>
      </c>
      <c r="H88" s="84"/>
      <c r="I88" s="242">
        <f t="shared" si="22"/>
        <v>0</v>
      </c>
      <c r="J88" s="101"/>
      <c r="K88" s="101"/>
      <c r="L88" s="101"/>
      <c r="M88" s="363"/>
      <c r="N88" s="101"/>
    </row>
    <row r="89" spans="1:14" ht="13.5" thickBot="1" x14ac:dyDescent="0.25">
      <c r="A89" s="978"/>
      <c r="B89" s="1019"/>
      <c r="C89" s="71"/>
      <c r="D89" s="102" t="s">
        <v>172</v>
      </c>
      <c r="E89" s="102" t="s">
        <v>383</v>
      </c>
      <c r="F89" s="290" t="s">
        <v>602</v>
      </c>
      <c r="G89" s="84">
        <f t="shared" si="20"/>
        <v>60</v>
      </c>
      <c r="H89" s="84"/>
      <c r="I89" s="242">
        <f t="shared" si="22"/>
        <v>0</v>
      </c>
      <c r="J89" s="101"/>
      <c r="K89" s="101"/>
      <c r="L89" s="101"/>
      <c r="M89" s="363"/>
      <c r="N89" s="101"/>
    </row>
    <row r="90" spans="1:14" ht="13.5" thickBot="1" x14ac:dyDescent="0.25">
      <c r="A90" s="978"/>
      <c r="B90" s="1019"/>
      <c r="C90" s="71"/>
      <c r="D90" s="102" t="s">
        <v>173</v>
      </c>
      <c r="E90" s="102" t="s">
        <v>384</v>
      </c>
      <c r="F90" s="290" t="s">
        <v>603</v>
      </c>
      <c r="G90" s="84">
        <f t="shared" si="20"/>
        <v>61</v>
      </c>
      <c r="H90" s="84"/>
      <c r="I90" s="242">
        <f t="shared" si="22"/>
        <v>0</v>
      </c>
      <c r="J90" s="101"/>
      <c r="K90" s="101"/>
      <c r="L90" s="101"/>
      <c r="M90" s="363"/>
      <c r="N90" s="101"/>
    </row>
    <row r="91" spans="1:14" ht="13.5" thickBot="1" x14ac:dyDescent="0.25">
      <c r="A91" s="978"/>
      <c r="B91" s="1019"/>
      <c r="C91" s="71" t="s">
        <v>28</v>
      </c>
      <c r="D91" s="973" t="s">
        <v>174</v>
      </c>
      <c r="E91" s="974"/>
      <c r="F91" s="275">
        <v>624</v>
      </c>
      <c r="G91" s="84">
        <f t="shared" si="20"/>
        <v>62</v>
      </c>
      <c r="H91" s="84"/>
      <c r="I91" s="242">
        <f t="shared" si="22"/>
        <v>0</v>
      </c>
      <c r="J91" s="101">
        <f>SUM(J92:J94)</f>
        <v>0</v>
      </c>
      <c r="K91" s="101">
        <f>SUM(K92:K94)</f>
        <v>0</v>
      </c>
      <c r="L91" s="101">
        <f>SUM(L92:L94)</f>
        <v>0</v>
      </c>
      <c r="M91" s="363">
        <f>SUM(M92:M94)</f>
        <v>0</v>
      </c>
      <c r="N91" s="101">
        <f>SUM(N92:N94)</f>
        <v>0</v>
      </c>
    </row>
    <row r="92" spans="1:14" ht="13.5" thickBot="1" x14ac:dyDescent="0.25">
      <c r="A92" s="978"/>
      <c r="B92" s="1019"/>
      <c r="C92" s="71"/>
      <c r="D92" s="973" t="s">
        <v>604</v>
      </c>
      <c r="E92" s="974"/>
      <c r="F92" s="303" t="s">
        <v>605</v>
      </c>
      <c r="G92" s="84"/>
      <c r="H92" s="84"/>
      <c r="I92" s="242"/>
      <c r="J92" s="101"/>
      <c r="K92" s="101"/>
      <c r="L92" s="101"/>
      <c r="M92" s="363"/>
      <c r="N92" s="101"/>
    </row>
    <row r="93" spans="1:14" ht="13.5" thickBot="1" x14ac:dyDescent="0.25">
      <c r="A93" s="978"/>
      <c r="B93" s="1019"/>
      <c r="C93" s="71"/>
      <c r="D93" s="973" t="s">
        <v>606</v>
      </c>
      <c r="E93" s="974"/>
      <c r="F93" s="303" t="s">
        <v>607</v>
      </c>
      <c r="G93" s="84"/>
      <c r="H93" s="84"/>
      <c r="I93" s="242"/>
      <c r="J93" s="101"/>
      <c r="K93" s="101"/>
      <c r="L93" s="101"/>
      <c r="M93" s="363"/>
      <c r="N93" s="101"/>
    </row>
    <row r="94" spans="1:14" ht="13.5" thickBot="1" x14ac:dyDescent="0.25">
      <c r="A94" s="978"/>
      <c r="B94" s="1019"/>
      <c r="C94" s="71"/>
      <c r="D94" s="973" t="s">
        <v>608</v>
      </c>
      <c r="E94" s="974"/>
      <c r="F94" s="303">
        <v>624</v>
      </c>
      <c r="G94" s="84"/>
      <c r="H94" s="84"/>
      <c r="I94" s="242"/>
      <c r="J94" s="101"/>
      <c r="K94" s="101"/>
      <c r="L94" s="101"/>
      <c r="M94" s="363"/>
      <c r="N94" s="101"/>
    </row>
    <row r="95" spans="1:14" ht="13.5" thickBot="1" x14ac:dyDescent="0.25">
      <c r="A95" s="978"/>
      <c r="B95" s="1019"/>
      <c r="C95" s="71" t="s">
        <v>34</v>
      </c>
      <c r="D95" s="973" t="s">
        <v>175</v>
      </c>
      <c r="E95" s="974"/>
      <c r="F95" s="275">
        <v>625</v>
      </c>
      <c r="G95" s="84">
        <f>G91+1</f>
        <v>63</v>
      </c>
      <c r="H95" s="84"/>
      <c r="I95" s="242">
        <f t="shared" si="22"/>
        <v>0</v>
      </c>
      <c r="J95" s="89"/>
      <c r="K95" s="89"/>
      <c r="L95" s="89"/>
      <c r="M95" s="113"/>
      <c r="N95" s="89"/>
    </row>
    <row r="96" spans="1:14" ht="13.5" thickBot="1" x14ac:dyDescent="0.25">
      <c r="A96" s="978"/>
      <c r="B96" s="1019"/>
      <c r="C96" s="71"/>
      <c r="D96" s="973" t="s">
        <v>467</v>
      </c>
      <c r="E96" s="974"/>
      <c r="F96" s="275">
        <v>625</v>
      </c>
      <c r="G96" s="84">
        <f t="shared" si="20"/>
        <v>64</v>
      </c>
      <c r="H96" s="84"/>
      <c r="I96" s="242">
        <f t="shared" ref="I96:N96" si="23">I97+I98</f>
        <v>0</v>
      </c>
      <c r="J96" s="89">
        <f t="shared" si="23"/>
        <v>0</v>
      </c>
      <c r="K96" s="89">
        <f t="shared" si="23"/>
        <v>0</v>
      </c>
      <c r="L96" s="89">
        <f t="shared" si="23"/>
        <v>0</v>
      </c>
      <c r="M96" s="113">
        <f t="shared" si="23"/>
        <v>0</v>
      </c>
      <c r="N96" s="89">
        <f t="shared" si="23"/>
        <v>0</v>
      </c>
    </row>
    <row r="97" spans="1:14" ht="13.5" thickBot="1" x14ac:dyDescent="0.25">
      <c r="A97" s="978"/>
      <c r="B97" s="1019"/>
      <c r="C97" s="71"/>
      <c r="D97" s="1021" t="s">
        <v>385</v>
      </c>
      <c r="E97" s="1022"/>
      <c r="F97" s="302" t="s">
        <v>609</v>
      </c>
      <c r="G97" s="84">
        <f t="shared" si="20"/>
        <v>65</v>
      </c>
      <c r="H97" s="84"/>
      <c r="I97" s="101">
        <f t="shared" ref="I97:I110" si="24">SUM(J97:M97)</f>
        <v>0</v>
      </c>
      <c r="J97" s="101"/>
      <c r="K97" s="101"/>
      <c r="L97" s="101"/>
      <c r="M97" s="363"/>
      <c r="N97" s="101"/>
    </row>
    <row r="98" spans="1:14" ht="13.5" thickBot="1" x14ac:dyDescent="0.25">
      <c r="A98" s="978"/>
      <c r="B98" s="1019"/>
      <c r="C98" s="71"/>
      <c r="D98" s="1021" t="s">
        <v>386</v>
      </c>
      <c r="E98" s="1022"/>
      <c r="F98" s="302" t="s">
        <v>610</v>
      </c>
      <c r="G98" s="84">
        <f t="shared" si="20"/>
        <v>66</v>
      </c>
      <c r="H98" s="84"/>
      <c r="I98" s="242">
        <f t="shared" si="24"/>
        <v>0</v>
      </c>
      <c r="J98" s="101"/>
      <c r="K98" s="101"/>
      <c r="L98" s="101"/>
      <c r="M98" s="363"/>
      <c r="N98" s="101"/>
    </row>
    <row r="99" spans="1:14" ht="13.5" thickBot="1" x14ac:dyDescent="0.25">
      <c r="A99" s="978"/>
      <c r="B99" s="1019"/>
      <c r="C99" s="71" t="s">
        <v>35</v>
      </c>
      <c r="D99" s="973" t="s">
        <v>177</v>
      </c>
      <c r="E99" s="974"/>
      <c r="F99" s="275">
        <v>626</v>
      </c>
      <c r="G99" s="84">
        <f t="shared" si="20"/>
        <v>67</v>
      </c>
      <c r="H99" s="84"/>
      <c r="I99" s="242">
        <f t="shared" si="24"/>
        <v>3200</v>
      </c>
      <c r="J99" s="89">
        <v>800</v>
      </c>
      <c r="K99" s="89">
        <v>800</v>
      </c>
      <c r="L99" s="89">
        <v>800</v>
      </c>
      <c r="M99" s="113">
        <v>800</v>
      </c>
      <c r="N99" s="89"/>
    </row>
    <row r="100" spans="1:14" ht="13.5" thickBot="1" x14ac:dyDescent="0.25">
      <c r="A100" s="978"/>
      <c r="B100" s="1019"/>
      <c r="C100" s="71" t="s">
        <v>178</v>
      </c>
      <c r="D100" s="973" t="s">
        <v>179</v>
      </c>
      <c r="E100" s="974"/>
      <c r="F100" s="275">
        <v>627</v>
      </c>
      <c r="G100" s="84">
        <f t="shared" si="20"/>
        <v>68</v>
      </c>
      <c r="H100" s="84"/>
      <c r="I100" s="242">
        <f t="shared" si="24"/>
        <v>1200</v>
      </c>
      <c r="J100" s="89">
        <v>300</v>
      </c>
      <c r="K100" s="89">
        <v>300</v>
      </c>
      <c r="L100" s="89">
        <v>300</v>
      </c>
      <c r="M100" s="113">
        <v>300</v>
      </c>
      <c r="N100" s="89"/>
    </row>
    <row r="101" spans="1:14" ht="13.5" thickBot="1" x14ac:dyDescent="0.25">
      <c r="A101" s="978"/>
      <c r="B101" s="1019"/>
      <c r="C101" s="71" t="s">
        <v>180</v>
      </c>
      <c r="D101" s="973" t="s">
        <v>181</v>
      </c>
      <c r="E101" s="974"/>
      <c r="F101" s="275" t="s">
        <v>611</v>
      </c>
      <c r="G101" s="84">
        <f t="shared" si="20"/>
        <v>69</v>
      </c>
      <c r="H101" s="84"/>
      <c r="I101" s="242">
        <f t="shared" si="24"/>
        <v>33000</v>
      </c>
      <c r="J101" s="89">
        <f>SUM(J102:J109)-J106</f>
        <v>8250</v>
      </c>
      <c r="K101" s="89">
        <f>SUM(K102:K109)-K106</f>
        <v>8250</v>
      </c>
      <c r="L101" s="89">
        <f>SUM(L102:L109)-L106</f>
        <v>8250</v>
      </c>
      <c r="M101" s="113">
        <f>SUM(M102:M109)-M106</f>
        <v>8250</v>
      </c>
      <c r="N101" s="89">
        <f>SUM(N102:N109)-N106</f>
        <v>0</v>
      </c>
    </row>
    <row r="102" spans="1:14" ht="13.5" thickBot="1" x14ac:dyDescent="0.25">
      <c r="A102" s="978"/>
      <c r="B102" s="1019"/>
      <c r="C102" s="71"/>
      <c r="D102" s="71" t="s">
        <v>56</v>
      </c>
      <c r="E102" s="71" t="s">
        <v>182</v>
      </c>
      <c r="F102" s="86" t="s">
        <v>612</v>
      </c>
      <c r="G102" s="84">
        <f t="shared" si="20"/>
        <v>70</v>
      </c>
      <c r="H102" s="84"/>
      <c r="I102" s="242">
        <f t="shared" si="24"/>
        <v>0</v>
      </c>
      <c r="J102" s="89"/>
      <c r="K102" s="89"/>
      <c r="L102" s="89"/>
      <c r="M102" s="113"/>
      <c r="N102" s="89"/>
    </row>
    <row r="103" spans="1:14" ht="13.5" thickBot="1" x14ac:dyDescent="0.25">
      <c r="A103" s="978"/>
      <c r="B103" s="1019"/>
      <c r="C103" s="71"/>
      <c r="D103" s="71" t="s">
        <v>57</v>
      </c>
      <c r="E103" s="71" t="s">
        <v>229</v>
      </c>
      <c r="F103" s="86" t="s">
        <v>613</v>
      </c>
      <c r="G103" s="84">
        <f t="shared" si="20"/>
        <v>71</v>
      </c>
      <c r="H103" s="84"/>
      <c r="I103" s="242">
        <f t="shared" si="24"/>
        <v>0</v>
      </c>
      <c r="J103" s="89"/>
      <c r="K103" s="89"/>
      <c r="L103" s="89"/>
      <c r="M103" s="113"/>
      <c r="N103" s="89"/>
    </row>
    <row r="104" spans="1:14" ht="13.5" thickBot="1" x14ac:dyDescent="0.25">
      <c r="A104" s="978"/>
      <c r="B104" s="1019"/>
      <c r="C104" s="71"/>
      <c r="D104" s="71" t="s">
        <v>58</v>
      </c>
      <c r="E104" s="71" t="s">
        <v>183</v>
      </c>
      <c r="F104" s="86">
        <v>614</v>
      </c>
      <c r="G104" s="84">
        <f t="shared" si="20"/>
        <v>72</v>
      </c>
      <c r="H104" s="84"/>
      <c r="I104" s="242">
        <f t="shared" si="24"/>
        <v>1000</v>
      </c>
      <c r="J104" s="89">
        <v>250</v>
      </c>
      <c r="K104" s="89">
        <v>250</v>
      </c>
      <c r="L104" s="89">
        <v>250</v>
      </c>
      <c r="M104" s="113">
        <v>250</v>
      </c>
      <c r="N104" s="89"/>
    </row>
    <row r="105" spans="1:14" ht="23.25" thickBot="1" x14ac:dyDescent="0.25">
      <c r="A105" s="978"/>
      <c r="B105" s="1019"/>
      <c r="C105" s="71"/>
      <c r="D105" s="71" t="s">
        <v>59</v>
      </c>
      <c r="E105" s="71" t="s">
        <v>184</v>
      </c>
      <c r="F105" s="86" t="s">
        <v>614</v>
      </c>
      <c r="G105" s="84">
        <f t="shared" si="20"/>
        <v>73</v>
      </c>
      <c r="H105" s="84"/>
      <c r="I105" s="242">
        <f t="shared" si="24"/>
        <v>0</v>
      </c>
      <c r="J105" s="89"/>
      <c r="K105" s="89"/>
      <c r="L105" s="89"/>
      <c r="M105" s="113"/>
      <c r="N105" s="89"/>
    </row>
    <row r="106" spans="1:14" ht="13.5" thickBot="1" x14ac:dyDescent="0.25">
      <c r="A106" s="978"/>
      <c r="B106" s="1019"/>
      <c r="C106" s="71"/>
      <c r="D106" s="71"/>
      <c r="E106" s="71" t="s">
        <v>387</v>
      </c>
      <c r="F106" s="86"/>
      <c r="G106" s="84">
        <f t="shared" si="20"/>
        <v>74</v>
      </c>
      <c r="H106" s="84"/>
      <c r="I106" s="242">
        <f t="shared" si="24"/>
        <v>0</v>
      </c>
      <c r="J106" s="89"/>
      <c r="K106" s="89"/>
      <c r="L106" s="89"/>
      <c r="M106" s="113"/>
      <c r="N106" s="89"/>
    </row>
    <row r="107" spans="1:14" ht="13.5" thickBot="1" x14ac:dyDescent="0.25">
      <c r="A107" s="978"/>
      <c r="B107" s="1019"/>
      <c r="C107" s="71"/>
      <c r="D107" s="71" t="s">
        <v>60</v>
      </c>
      <c r="E107" s="71" t="s">
        <v>545</v>
      </c>
      <c r="F107" s="86" t="s">
        <v>615</v>
      </c>
      <c r="G107" s="84">
        <f t="shared" si="20"/>
        <v>75</v>
      </c>
      <c r="H107" s="84"/>
      <c r="I107" s="242">
        <f t="shared" si="24"/>
        <v>32000</v>
      </c>
      <c r="J107" s="89">
        <v>8000</v>
      </c>
      <c r="K107" s="89">
        <v>8000</v>
      </c>
      <c r="L107" s="89">
        <v>8000</v>
      </c>
      <c r="M107" s="113">
        <v>8000</v>
      </c>
      <c r="N107" s="89"/>
    </row>
    <row r="108" spans="1:14" ht="23.25" thickBot="1" x14ac:dyDescent="0.25">
      <c r="A108" s="978"/>
      <c r="B108" s="1019"/>
      <c r="C108" s="71"/>
      <c r="D108" s="71" t="s">
        <v>61</v>
      </c>
      <c r="E108" s="71" t="s">
        <v>185</v>
      </c>
      <c r="F108" s="86" t="s">
        <v>22</v>
      </c>
      <c r="G108" s="84">
        <f t="shared" si="20"/>
        <v>76</v>
      </c>
      <c r="H108" s="84"/>
      <c r="I108" s="242">
        <f t="shared" si="24"/>
        <v>0</v>
      </c>
      <c r="J108" s="242"/>
      <c r="K108" s="89"/>
      <c r="L108" s="89"/>
      <c r="M108" s="113"/>
      <c r="N108" s="89"/>
    </row>
    <row r="109" spans="1:14" ht="13.5" thickBot="1" x14ac:dyDescent="0.25">
      <c r="A109" s="978"/>
      <c r="B109" s="1019"/>
      <c r="C109" s="71"/>
      <c r="D109" s="71" t="s">
        <v>62</v>
      </c>
      <c r="E109" s="71" t="s">
        <v>186</v>
      </c>
      <c r="F109" s="86" t="s">
        <v>616</v>
      </c>
      <c r="G109" s="84">
        <f t="shared" si="20"/>
        <v>77</v>
      </c>
      <c r="H109" s="84"/>
      <c r="I109" s="242">
        <f t="shared" si="24"/>
        <v>0</v>
      </c>
      <c r="J109" s="89"/>
      <c r="K109" s="89"/>
      <c r="L109" s="89"/>
      <c r="M109" s="113"/>
      <c r="N109" s="89"/>
    </row>
    <row r="110" spans="1:14" ht="13.5" thickBot="1" x14ac:dyDescent="0.25">
      <c r="A110" s="978"/>
      <c r="B110" s="1019"/>
      <c r="C110" s="71" t="s">
        <v>344</v>
      </c>
      <c r="D110" s="973" t="s">
        <v>149</v>
      </c>
      <c r="E110" s="974"/>
      <c r="F110" s="275">
        <f>SUM(F111:F114)</f>
        <v>0</v>
      </c>
      <c r="G110" s="84">
        <f t="shared" si="20"/>
        <v>78</v>
      </c>
      <c r="H110" s="84"/>
      <c r="I110" s="242">
        <f t="shared" si="24"/>
        <v>4600</v>
      </c>
      <c r="J110" s="89">
        <f>SUM(J111:J114)</f>
        <v>1150</v>
      </c>
      <c r="K110" s="89">
        <f>SUM(K111:K114)</f>
        <v>1150</v>
      </c>
      <c r="L110" s="89">
        <f>SUM(L111:L114)</f>
        <v>1150</v>
      </c>
      <c r="M110" s="113">
        <f>SUM(M111:M114)</f>
        <v>1150</v>
      </c>
      <c r="N110" s="89">
        <f>SUM(N111:N114)</f>
        <v>0</v>
      </c>
    </row>
    <row r="111" spans="1:14" ht="13.5" thickBot="1" x14ac:dyDescent="0.25">
      <c r="A111" s="978"/>
      <c r="B111" s="1019"/>
      <c r="C111" s="278"/>
      <c r="D111" s="304"/>
      <c r="E111" s="279" t="s">
        <v>617</v>
      </c>
      <c r="F111" s="296" t="s">
        <v>618</v>
      </c>
      <c r="G111" s="84"/>
      <c r="H111" s="84"/>
      <c r="I111" s="242"/>
      <c r="J111" s="89"/>
      <c r="K111" s="89"/>
      <c r="L111" s="89"/>
      <c r="M111" s="113"/>
      <c r="N111" s="89"/>
    </row>
    <row r="112" spans="1:14" ht="13.5" thickBot="1" x14ac:dyDescent="0.25">
      <c r="A112" s="978"/>
      <c r="B112" s="1019"/>
      <c r="C112" s="278"/>
      <c r="D112" s="304"/>
      <c r="E112" s="279" t="s">
        <v>619</v>
      </c>
      <c r="F112" s="296" t="s">
        <v>620</v>
      </c>
      <c r="G112" s="84"/>
      <c r="H112" s="84"/>
      <c r="I112" s="242"/>
      <c r="J112" s="89">
        <v>150</v>
      </c>
      <c r="K112" s="89">
        <v>150</v>
      </c>
      <c r="L112" s="89">
        <v>150</v>
      </c>
      <c r="M112" s="113">
        <v>150</v>
      </c>
      <c r="N112" s="89"/>
    </row>
    <row r="113" spans="1:14" ht="13.5" thickBot="1" x14ac:dyDescent="0.25">
      <c r="A113" s="978"/>
      <c r="B113" s="1019"/>
      <c r="C113" s="278"/>
      <c r="D113" s="304"/>
      <c r="E113" s="279" t="s">
        <v>621</v>
      </c>
      <c r="F113" s="305" t="s">
        <v>622</v>
      </c>
      <c r="G113" s="84"/>
      <c r="H113" s="84"/>
      <c r="I113" s="242"/>
      <c r="J113" s="89">
        <v>1000</v>
      </c>
      <c r="K113" s="89">
        <v>1000</v>
      </c>
      <c r="L113" s="89">
        <v>1000</v>
      </c>
      <c r="M113" s="113">
        <v>1000</v>
      </c>
      <c r="N113" s="89"/>
    </row>
    <row r="114" spans="1:14" ht="23.25" thickBot="1" x14ac:dyDescent="0.25">
      <c r="A114" s="978"/>
      <c r="B114" s="1019"/>
      <c r="C114" s="278"/>
      <c r="D114" s="304"/>
      <c r="E114" s="279" t="s">
        <v>623</v>
      </c>
      <c r="F114" s="296" t="s">
        <v>624</v>
      </c>
      <c r="G114" s="84"/>
      <c r="H114" s="84"/>
      <c r="I114" s="242"/>
      <c r="J114" s="89"/>
      <c r="K114" s="89"/>
      <c r="L114" s="89"/>
      <c r="M114" s="113"/>
      <c r="N114" s="89"/>
    </row>
    <row r="115" spans="1:14" ht="24" customHeight="1" thickBot="1" x14ac:dyDescent="0.25">
      <c r="A115" s="978"/>
      <c r="B115" s="1019"/>
      <c r="C115" s="1026" t="s">
        <v>468</v>
      </c>
      <c r="D115" s="1027"/>
      <c r="E115" s="1028"/>
      <c r="F115" s="277"/>
      <c r="G115" s="97">
        <f>G110+1</f>
        <v>79</v>
      </c>
      <c r="H115" s="97"/>
      <c r="I115" s="98">
        <f t="shared" ref="I115:N115" si="25">I116+I117+I118+I119+I120+I121</f>
        <v>122440</v>
      </c>
      <c r="J115" s="98">
        <f t="shared" si="25"/>
        <v>30610</v>
      </c>
      <c r="K115" s="98">
        <f t="shared" si="25"/>
        <v>30610</v>
      </c>
      <c r="L115" s="98">
        <f t="shared" si="25"/>
        <v>30610</v>
      </c>
      <c r="M115" s="361">
        <f t="shared" si="25"/>
        <v>30610</v>
      </c>
      <c r="N115" s="98">
        <f t="shared" si="25"/>
        <v>0</v>
      </c>
    </row>
    <row r="116" spans="1:14" ht="20.25" customHeight="1" thickBot="1" x14ac:dyDescent="0.25">
      <c r="A116" s="978"/>
      <c r="B116" s="1019"/>
      <c r="C116" s="71" t="s">
        <v>27</v>
      </c>
      <c r="D116" s="973" t="s">
        <v>188</v>
      </c>
      <c r="E116" s="974"/>
      <c r="F116" s="275" t="s">
        <v>22</v>
      </c>
      <c r="G116" s="84">
        <f t="shared" si="20"/>
        <v>80</v>
      </c>
      <c r="H116" s="84"/>
      <c r="I116" s="89">
        <f t="shared" ref="I116:I121" si="26">SUM(J116:M116)</f>
        <v>0</v>
      </c>
      <c r="J116" s="89"/>
      <c r="K116" s="89"/>
      <c r="L116" s="89"/>
      <c r="M116" s="113"/>
      <c r="N116" s="89"/>
    </row>
    <row r="117" spans="1:14" ht="13.5" thickBot="1" x14ac:dyDescent="0.25">
      <c r="A117" s="978"/>
      <c r="B117" s="1019"/>
      <c r="C117" s="71" t="s">
        <v>38</v>
      </c>
      <c r="D117" s="973" t="s">
        <v>388</v>
      </c>
      <c r="E117" s="974"/>
      <c r="F117" s="275" t="s">
        <v>625</v>
      </c>
      <c r="G117" s="84">
        <f t="shared" si="20"/>
        <v>81</v>
      </c>
      <c r="H117" s="84"/>
      <c r="I117" s="89">
        <f t="shared" si="26"/>
        <v>90000</v>
      </c>
      <c r="J117" s="89">
        <v>22500</v>
      </c>
      <c r="K117" s="89">
        <v>22500</v>
      </c>
      <c r="L117" s="89">
        <v>22500</v>
      </c>
      <c r="M117" s="113">
        <v>22500</v>
      </c>
      <c r="N117" s="89"/>
    </row>
    <row r="118" spans="1:14" ht="13.5" thickBot="1" x14ac:dyDescent="0.25">
      <c r="A118" s="978"/>
      <c r="B118" s="1019"/>
      <c r="C118" s="71" t="s">
        <v>40</v>
      </c>
      <c r="D118" s="973" t="s">
        <v>41</v>
      </c>
      <c r="E118" s="974"/>
      <c r="F118" s="275" t="s">
        <v>626</v>
      </c>
      <c r="G118" s="84">
        <f t="shared" si="20"/>
        <v>82</v>
      </c>
      <c r="H118" s="84"/>
      <c r="I118" s="89">
        <f t="shared" si="26"/>
        <v>0</v>
      </c>
      <c r="J118" s="89"/>
      <c r="K118" s="89"/>
      <c r="L118" s="89"/>
      <c r="M118" s="113"/>
      <c r="N118" s="89"/>
    </row>
    <row r="119" spans="1:14" ht="13.5" thickBot="1" x14ac:dyDescent="0.25">
      <c r="A119" s="979"/>
      <c r="B119" s="1020"/>
      <c r="C119" s="71" t="s">
        <v>42</v>
      </c>
      <c r="D119" s="973" t="s">
        <v>43</v>
      </c>
      <c r="E119" s="974"/>
      <c r="F119" s="275" t="s">
        <v>627</v>
      </c>
      <c r="G119" s="84">
        <f t="shared" si="20"/>
        <v>83</v>
      </c>
      <c r="H119" s="84"/>
      <c r="I119" s="89">
        <f t="shared" si="26"/>
        <v>24000</v>
      </c>
      <c r="J119" s="89">
        <v>6000</v>
      </c>
      <c r="K119" s="89">
        <v>6000</v>
      </c>
      <c r="L119" s="89">
        <v>6000</v>
      </c>
      <c r="M119" s="113">
        <v>6000</v>
      </c>
      <c r="N119" s="89"/>
    </row>
    <row r="120" spans="1:14" ht="13.5" thickBot="1" x14ac:dyDescent="0.25">
      <c r="A120" s="977"/>
      <c r="B120" s="1018"/>
      <c r="C120" s="71" t="s">
        <v>28</v>
      </c>
      <c r="D120" s="973" t="s">
        <v>44</v>
      </c>
      <c r="E120" s="974"/>
      <c r="F120" s="275" t="s">
        <v>628</v>
      </c>
      <c r="G120" s="84">
        <f t="shared" si="20"/>
        <v>84</v>
      </c>
      <c r="H120" s="84"/>
      <c r="I120" s="89">
        <f t="shared" si="26"/>
        <v>0</v>
      </c>
      <c r="J120" s="89"/>
      <c r="K120" s="89"/>
      <c r="L120" s="89"/>
      <c r="M120" s="113"/>
      <c r="N120" s="89"/>
    </row>
    <row r="121" spans="1:14" ht="13.5" thickBot="1" x14ac:dyDescent="0.25">
      <c r="A121" s="978"/>
      <c r="B121" s="1019"/>
      <c r="C121" s="71" t="s">
        <v>34</v>
      </c>
      <c r="D121" s="1029" t="s">
        <v>45</v>
      </c>
      <c r="E121" s="1032"/>
      <c r="F121" s="275" t="s">
        <v>629</v>
      </c>
      <c r="G121" s="84">
        <f t="shared" si="20"/>
        <v>85</v>
      </c>
      <c r="H121" s="84"/>
      <c r="I121" s="89">
        <f t="shared" si="26"/>
        <v>8440</v>
      </c>
      <c r="J121" s="89">
        <f>SUM(J122:J130)</f>
        <v>2110</v>
      </c>
      <c r="K121" s="89">
        <f>SUM(K122:K130)</f>
        <v>2110</v>
      </c>
      <c r="L121" s="89">
        <f>SUM(L122:L130)</f>
        <v>2110</v>
      </c>
      <c r="M121" s="113">
        <f>SUM(M122:M130)</f>
        <v>2110</v>
      </c>
      <c r="N121" s="89">
        <f>SUM(N122:N130)</f>
        <v>0</v>
      </c>
    </row>
    <row r="122" spans="1:14" ht="13.5" thickBot="1" x14ac:dyDescent="0.25">
      <c r="A122" s="978"/>
      <c r="B122" s="1019"/>
      <c r="C122" s="278"/>
      <c r="D122" s="278"/>
      <c r="E122" s="279" t="s">
        <v>630</v>
      </c>
      <c r="F122" s="296" t="s">
        <v>631</v>
      </c>
      <c r="G122" s="84"/>
      <c r="H122" s="84"/>
      <c r="I122" s="89"/>
      <c r="J122" s="89">
        <v>700</v>
      </c>
      <c r="K122" s="89">
        <v>700</v>
      </c>
      <c r="L122" s="89">
        <v>700</v>
      </c>
      <c r="M122" s="113">
        <v>700</v>
      </c>
      <c r="N122" s="89"/>
    </row>
    <row r="123" spans="1:14" ht="13.5" thickBot="1" x14ac:dyDescent="0.25">
      <c r="A123" s="978"/>
      <c r="B123" s="1019"/>
      <c r="C123" s="278"/>
      <c r="D123" s="278"/>
      <c r="E123" s="279" t="s">
        <v>632</v>
      </c>
      <c r="F123" s="296" t="s">
        <v>633</v>
      </c>
      <c r="G123" s="84"/>
      <c r="H123" s="84"/>
      <c r="I123" s="89"/>
      <c r="J123" s="89">
        <v>150</v>
      </c>
      <c r="K123" s="89">
        <v>150</v>
      </c>
      <c r="L123" s="89">
        <v>150</v>
      </c>
      <c r="M123" s="113">
        <v>150</v>
      </c>
      <c r="N123" s="89"/>
    </row>
    <row r="124" spans="1:14" ht="13.5" thickBot="1" x14ac:dyDescent="0.25">
      <c r="A124" s="978"/>
      <c r="B124" s="1019"/>
      <c r="C124" s="278"/>
      <c r="D124" s="278"/>
      <c r="E124" s="279" t="s">
        <v>634</v>
      </c>
      <c r="F124" s="296" t="s">
        <v>635</v>
      </c>
      <c r="G124" s="84"/>
      <c r="H124" s="84"/>
      <c r="I124" s="89"/>
      <c r="J124" s="89"/>
      <c r="K124" s="89"/>
      <c r="L124" s="89"/>
      <c r="M124" s="113"/>
      <c r="N124" s="89"/>
    </row>
    <row r="125" spans="1:14" ht="13.5" thickBot="1" x14ac:dyDescent="0.25">
      <c r="A125" s="978"/>
      <c r="B125" s="1019"/>
      <c r="C125" s="278"/>
      <c r="D125" s="278"/>
      <c r="E125" s="279" t="s">
        <v>636</v>
      </c>
      <c r="F125" s="296" t="s">
        <v>637</v>
      </c>
      <c r="G125" s="84"/>
      <c r="H125" s="84"/>
      <c r="I125" s="89"/>
      <c r="J125" s="89">
        <v>1100</v>
      </c>
      <c r="K125" s="89">
        <v>1100</v>
      </c>
      <c r="L125" s="89">
        <v>1100</v>
      </c>
      <c r="M125" s="113">
        <v>1100</v>
      </c>
      <c r="N125" s="89"/>
    </row>
    <row r="126" spans="1:14" ht="13.5" thickBot="1" x14ac:dyDescent="0.25">
      <c r="A126" s="978"/>
      <c r="B126" s="1019"/>
      <c r="C126" s="278"/>
      <c r="D126" s="278"/>
      <c r="E126" s="279" t="s">
        <v>638</v>
      </c>
      <c r="F126" s="296" t="s">
        <v>639</v>
      </c>
      <c r="G126" s="84"/>
      <c r="H126" s="84"/>
      <c r="I126" s="89"/>
      <c r="J126" s="89">
        <v>50</v>
      </c>
      <c r="K126" s="89">
        <v>50</v>
      </c>
      <c r="L126" s="89">
        <v>50</v>
      </c>
      <c r="M126" s="113">
        <v>50</v>
      </c>
      <c r="N126" s="89"/>
    </row>
    <row r="127" spans="1:14" ht="13.5" thickBot="1" x14ac:dyDescent="0.25">
      <c r="A127" s="978"/>
      <c r="B127" s="1019"/>
      <c r="C127" s="278"/>
      <c r="D127" s="278"/>
      <c r="E127" s="279" t="s">
        <v>640</v>
      </c>
      <c r="F127" s="296" t="s">
        <v>641</v>
      </c>
      <c r="G127" s="84"/>
      <c r="H127" s="84"/>
      <c r="I127" s="89"/>
      <c r="J127" s="89">
        <v>10</v>
      </c>
      <c r="K127" s="89">
        <v>10</v>
      </c>
      <c r="L127" s="89">
        <v>10</v>
      </c>
      <c r="M127" s="113">
        <v>10</v>
      </c>
      <c r="N127" s="89"/>
    </row>
    <row r="128" spans="1:14" ht="13.5" thickBot="1" x14ac:dyDescent="0.25">
      <c r="A128" s="978"/>
      <c r="B128" s="1019"/>
      <c r="C128" s="278"/>
      <c r="D128" s="278"/>
      <c r="E128" s="279" t="s">
        <v>642</v>
      </c>
      <c r="F128" s="296" t="s">
        <v>643</v>
      </c>
      <c r="G128" s="84"/>
      <c r="H128" s="84"/>
      <c r="I128" s="89"/>
      <c r="J128" s="89">
        <v>100</v>
      </c>
      <c r="K128" s="89">
        <v>100</v>
      </c>
      <c r="L128" s="89">
        <v>100</v>
      </c>
      <c r="M128" s="113">
        <v>100</v>
      </c>
      <c r="N128" s="89"/>
    </row>
    <row r="129" spans="1:14" ht="13.5" thickBot="1" x14ac:dyDescent="0.25">
      <c r="A129" s="978"/>
      <c r="B129" s="1019"/>
      <c r="C129" s="278"/>
      <c r="D129" s="278"/>
      <c r="E129" s="279" t="s">
        <v>644</v>
      </c>
      <c r="F129" s="296" t="s">
        <v>645</v>
      </c>
      <c r="G129" s="84"/>
      <c r="H129" s="84"/>
      <c r="I129" s="89"/>
      <c r="J129" s="89"/>
      <c r="K129" s="89"/>
      <c r="L129" s="89"/>
      <c r="M129" s="113"/>
      <c r="N129" s="89"/>
    </row>
    <row r="130" spans="1:14" ht="13.5" thickBot="1" x14ac:dyDescent="0.25">
      <c r="A130" s="978"/>
      <c r="B130" s="1019"/>
      <c r="C130" s="278"/>
      <c r="D130" s="278"/>
      <c r="E130" s="279" t="s">
        <v>646</v>
      </c>
      <c r="F130" s="296" t="s">
        <v>647</v>
      </c>
      <c r="G130" s="84"/>
      <c r="H130" s="84"/>
      <c r="I130" s="89"/>
      <c r="J130" s="89"/>
      <c r="K130" s="89"/>
      <c r="L130" s="89"/>
      <c r="M130" s="113"/>
      <c r="N130" s="89"/>
    </row>
    <row r="131" spans="1:14" ht="21" customHeight="1" thickBot="1" x14ac:dyDescent="0.25">
      <c r="A131" s="978"/>
      <c r="B131" s="1019"/>
      <c r="C131" s="1026" t="s">
        <v>474</v>
      </c>
      <c r="D131" s="1027"/>
      <c r="E131" s="1028"/>
      <c r="F131" s="277"/>
      <c r="G131" s="97">
        <f>G121+1</f>
        <v>86</v>
      </c>
      <c r="H131" s="97"/>
      <c r="I131" s="255">
        <f t="shared" ref="I131:N131" si="27">I133+I137+I145+I149+I158</f>
        <v>1426171.66444</v>
      </c>
      <c r="J131" s="98">
        <f t="shared" si="27"/>
        <v>292327.09064000001</v>
      </c>
      <c r="K131" s="98">
        <f t="shared" si="27"/>
        <v>437706.03236000001</v>
      </c>
      <c r="L131" s="98">
        <f t="shared" si="27"/>
        <v>331475.23236000002</v>
      </c>
      <c r="M131" s="361">
        <f t="shared" si="27"/>
        <v>364663.30907999998</v>
      </c>
      <c r="N131" s="98">
        <f t="shared" si="27"/>
        <v>0</v>
      </c>
    </row>
    <row r="132" spans="1:14" ht="13.5" thickBot="1" x14ac:dyDescent="0.25">
      <c r="A132" s="978"/>
      <c r="B132" s="1019"/>
      <c r="C132" s="306" t="s">
        <v>396</v>
      </c>
      <c r="D132" s="1033" t="s">
        <v>413</v>
      </c>
      <c r="E132" s="1034"/>
      <c r="F132" s="307">
        <v>641</v>
      </c>
      <c r="G132" s="308">
        <f t="shared" si="20"/>
        <v>87</v>
      </c>
      <c r="H132" s="308"/>
      <c r="I132" s="309">
        <f t="shared" ref="I132:N132" si="28">I133+I137</f>
        <v>1183078</v>
      </c>
      <c r="J132" s="309">
        <f t="shared" si="28"/>
        <v>242849</v>
      </c>
      <c r="K132" s="309">
        <f t="shared" si="28"/>
        <v>364114</v>
      </c>
      <c r="L132" s="309">
        <f t="shared" si="28"/>
        <v>273853</v>
      </c>
      <c r="M132" s="364">
        <f t="shared" si="28"/>
        <v>302262</v>
      </c>
      <c r="N132" s="309">
        <f t="shared" si="28"/>
        <v>0</v>
      </c>
    </row>
    <row r="133" spans="1:14" ht="20.25" customHeight="1" thickBot="1" x14ac:dyDescent="0.25">
      <c r="A133" s="978"/>
      <c r="B133" s="1019"/>
      <c r="C133" s="293" t="s">
        <v>46</v>
      </c>
      <c r="D133" s="1026" t="s">
        <v>189</v>
      </c>
      <c r="E133" s="1028"/>
      <c r="F133" s="277">
        <v>641</v>
      </c>
      <c r="G133" s="97">
        <f t="shared" si="20"/>
        <v>88</v>
      </c>
      <c r="H133" s="97"/>
      <c r="I133" s="98">
        <f t="shared" ref="I133:N133" si="29">I134+I135+I136</f>
        <v>1002546</v>
      </c>
      <c r="J133" s="98">
        <f t="shared" si="29"/>
        <v>216876</v>
      </c>
      <c r="K133" s="98">
        <f t="shared" si="29"/>
        <v>259574</v>
      </c>
      <c r="L133" s="98">
        <f t="shared" si="29"/>
        <v>252574</v>
      </c>
      <c r="M133" s="361">
        <f t="shared" si="29"/>
        <v>273522</v>
      </c>
      <c r="N133" s="98">
        <f t="shared" si="29"/>
        <v>0</v>
      </c>
    </row>
    <row r="134" spans="1:14" ht="13.5" thickBot="1" x14ac:dyDescent="0.25">
      <c r="A134" s="978"/>
      <c r="B134" s="1019"/>
      <c r="C134" s="1018"/>
      <c r="D134" s="973" t="s">
        <v>190</v>
      </c>
      <c r="E134" s="974"/>
      <c r="F134" s="275">
        <v>641</v>
      </c>
      <c r="G134" s="84">
        <f t="shared" si="20"/>
        <v>89</v>
      </c>
      <c r="H134" s="84"/>
      <c r="I134" s="101">
        <f>SUM(J134:M134)</f>
        <v>832874</v>
      </c>
      <c r="J134" s="89">
        <v>204600</v>
      </c>
      <c r="K134" s="89">
        <v>207900</v>
      </c>
      <c r="L134" s="89">
        <v>207900</v>
      </c>
      <c r="M134" s="113">
        <v>212474</v>
      </c>
      <c r="N134" s="89"/>
    </row>
    <row r="135" spans="1:14" ht="24" customHeight="1" thickBot="1" x14ac:dyDescent="0.25">
      <c r="A135" s="978"/>
      <c r="B135" s="1019"/>
      <c r="C135" s="1019"/>
      <c r="D135" s="973" t="s">
        <v>191</v>
      </c>
      <c r="E135" s="974"/>
      <c r="F135" s="275"/>
      <c r="G135" s="84">
        <f t="shared" si="20"/>
        <v>90</v>
      </c>
      <c r="H135" s="84"/>
      <c r="I135" s="101">
        <f>SUM(J135:M135)</f>
        <v>49972</v>
      </c>
      <c r="J135" s="89">
        <v>12276</v>
      </c>
      <c r="K135" s="89">
        <v>12474</v>
      </c>
      <c r="L135" s="89">
        <v>12474</v>
      </c>
      <c r="M135" s="113">
        <v>12748</v>
      </c>
      <c r="N135" s="89"/>
    </row>
    <row r="136" spans="1:14" ht="13.5" thickBot="1" x14ac:dyDescent="0.25">
      <c r="A136" s="978"/>
      <c r="B136" s="1019"/>
      <c r="C136" s="1020"/>
      <c r="D136" s="973" t="s">
        <v>192</v>
      </c>
      <c r="E136" s="974"/>
      <c r="F136" s="275"/>
      <c r="G136" s="84">
        <f t="shared" si="20"/>
        <v>91</v>
      </c>
      <c r="H136" s="84"/>
      <c r="I136" s="101">
        <f>SUM(J136:M136)</f>
        <v>119700</v>
      </c>
      <c r="J136" s="89">
        <v>0</v>
      </c>
      <c r="K136" s="89">
        <v>39200</v>
      </c>
      <c r="L136" s="89">
        <v>32200</v>
      </c>
      <c r="M136" s="113">
        <v>48300</v>
      </c>
      <c r="N136" s="89"/>
    </row>
    <row r="137" spans="1:14" ht="17.25" customHeight="1" thickBot="1" x14ac:dyDescent="0.25">
      <c r="A137" s="978"/>
      <c r="B137" s="1019"/>
      <c r="C137" s="293" t="s">
        <v>67</v>
      </c>
      <c r="D137" s="1026" t="s">
        <v>389</v>
      </c>
      <c r="E137" s="1028"/>
      <c r="F137" s="277"/>
      <c r="G137" s="97">
        <f t="shared" si="20"/>
        <v>92</v>
      </c>
      <c r="H137" s="97"/>
      <c r="I137" s="98">
        <f t="shared" ref="I137:N137" si="30">I138+I141+I142+I143+I144</f>
        <v>180532</v>
      </c>
      <c r="J137" s="98">
        <f t="shared" si="30"/>
        <v>25973</v>
      </c>
      <c r="K137" s="98">
        <f t="shared" si="30"/>
        <v>104540</v>
      </c>
      <c r="L137" s="98">
        <f t="shared" si="30"/>
        <v>21279</v>
      </c>
      <c r="M137" s="361">
        <f t="shared" si="30"/>
        <v>28740</v>
      </c>
      <c r="N137" s="98">
        <f t="shared" si="30"/>
        <v>0</v>
      </c>
    </row>
    <row r="138" spans="1:14" ht="33" customHeight="1" thickBot="1" x14ac:dyDescent="0.25">
      <c r="A138" s="978"/>
      <c r="B138" s="1019"/>
      <c r="C138" s="71"/>
      <c r="D138" s="973" t="s">
        <v>187</v>
      </c>
      <c r="E138" s="974"/>
      <c r="F138" s="275">
        <v>6458</v>
      </c>
      <c r="G138" s="84">
        <f t="shared" si="20"/>
        <v>93</v>
      </c>
      <c r="H138" s="84"/>
      <c r="I138" s="89">
        <f t="shared" ref="I138:I144" si="31">SUM(J138:M138)</f>
        <v>26800</v>
      </c>
      <c r="J138" s="89">
        <v>2000</v>
      </c>
      <c r="K138" s="89">
        <f>K139+K140</f>
        <v>16800</v>
      </c>
      <c r="L138" s="89">
        <v>4000</v>
      </c>
      <c r="M138" s="89">
        <v>4000</v>
      </c>
      <c r="N138" s="89"/>
    </row>
    <row r="139" spans="1:14" ht="13.5" thickBot="1" x14ac:dyDescent="0.25">
      <c r="A139" s="978"/>
      <c r="B139" s="1019"/>
      <c r="C139" s="71"/>
      <c r="D139" s="71"/>
      <c r="E139" s="71" t="s">
        <v>193</v>
      </c>
      <c r="F139" s="86"/>
      <c r="G139" s="84">
        <f t="shared" si="20"/>
        <v>94</v>
      </c>
      <c r="H139" s="84"/>
      <c r="I139" s="89">
        <f t="shared" si="31"/>
        <v>0</v>
      </c>
      <c r="J139" s="89"/>
      <c r="K139" s="89"/>
      <c r="L139" s="89"/>
      <c r="M139" s="113"/>
      <c r="N139" s="89"/>
    </row>
    <row r="140" spans="1:14" ht="23.25" thickBot="1" x14ac:dyDescent="0.25">
      <c r="A140" s="978"/>
      <c r="B140" s="1019"/>
      <c r="C140" s="71"/>
      <c r="D140" s="71"/>
      <c r="E140" s="71" t="s">
        <v>194</v>
      </c>
      <c r="F140" s="86" t="s">
        <v>648</v>
      </c>
      <c r="G140" s="84">
        <f t="shared" si="20"/>
        <v>95</v>
      </c>
      <c r="H140" s="84"/>
      <c r="I140" s="89">
        <f t="shared" si="31"/>
        <v>16800</v>
      </c>
      <c r="J140" s="89"/>
      <c r="K140" s="89">
        <f>400*42</f>
        <v>16800</v>
      </c>
      <c r="L140" s="89"/>
      <c r="M140" s="113"/>
      <c r="N140" s="89"/>
    </row>
    <row r="141" spans="1:14" ht="13.5" thickBot="1" x14ac:dyDescent="0.25">
      <c r="A141" s="978"/>
      <c r="B141" s="1019"/>
      <c r="C141" s="71"/>
      <c r="D141" s="973" t="s">
        <v>74</v>
      </c>
      <c r="E141" s="974"/>
      <c r="F141" s="275" t="s">
        <v>649</v>
      </c>
      <c r="G141" s="84">
        <f t="shared" ref="G141:G175" si="32">G140+1</f>
        <v>96</v>
      </c>
      <c r="H141" s="84"/>
      <c r="I141" s="89">
        <f t="shared" si="31"/>
        <v>90732</v>
      </c>
      <c r="J141" s="89">
        <v>23973</v>
      </c>
      <c r="K141" s="89">
        <v>24740</v>
      </c>
      <c r="L141" s="89">
        <v>17279</v>
      </c>
      <c r="M141" s="113">
        <v>24740</v>
      </c>
      <c r="N141" s="89"/>
    </row>
    <row r="142" spans="1:14" ht="13.5" thickBot="1" x14ac:dyDescent="0.25">
      <c r="A142" s="978"/>
      <c r="B142" s="1019"/>
      <c r="C142" s="71"/>
      <c r="D142" s="973" t="s">
        <v>195</v>
      </c>
      <c r="E142" s="974"/>
      <c r="F142" s="275"/>
      <c r="G142" s="84">
        <f t="shared" si="32"/>
        <v>97</v>
      </c>
      <c r="H142" s="84"/>
      <c r="I142" s="89">
        <f t="shared" si="31"/>
        <v>0</v>
      </c>
      <c r="J142" s="89"/>
      <c r="K142" s="89"/>
      <c r="L142" s="89"/>
      <c r="M142" s="113"/>
      <c r="N142" s="89"/>
    </row>
    <row r="143" spans="1:14" ht="20.25" customHeight="1" thickBot="1" x14ac:dyDescent="0.25">
      <c r="A143" s="978"/>
      <c r="B143" s="1019"/>
      <c r="C143" s="71"/>
      <c r="D143" s="973" t="s">
        <v>390</v>
      </c>
      <c r="E143" s="974"/>
      <c r="F143" s="275">
        <v>643</v>
      </c>
      <c r="G143" s="84">
        <f t="shared" si="32"/>
        <v>98</v>
      </c>
      <c r="H143" s="84"/>
      <c r="I143" s="89">
        <f t="shared" si="31"/>
        <v>63000</v>
      </c>
      <c r="J143" s="89"/>
      <c r="K143" s="89">
        <v>63000</v>
      </c>
      <c r="L143" s="89"/>
      <c r="M143" s="113"/>
      <c r="N143" s="89"/>
    </row>
    <row r="144" spans="1:14" ht="13.5" thickBot="1" x14ac:dyDescent="0.25">
      <c r="A144" s="978"/>
      <c r="B144" s="1019"/>
      <c r="C144" s="71"/>
      <c r="D144" s="973" t="s">
        <v>196</v>
      </c>
      <c r="E144" s="974"/>
      <c r="F144" s="275"/>
      <c r="G144" s="84">
        <f t="shared" si="32"/>
        <v>99</v>
      </c>
      <c r="H144" s="84"/>
      <c r="I144" s="89">
        <f t="shared" si="31"/>
        <v>0</v>
      </c>
      <c r="J144" s="89"/>
      <c r="K144" s="89"/>
      <c r="L144" s="89"/>
      <c r="M144" s="113"/>
      <c r="N144" s="89"/>
    </row>
    <row r="145" spans="1:14" ht="22.5" customHeight="1" thickBot="1" x14ac:dyDescent="0.25">
      <c r="A145" s="978"/>
      <c r="B145" s="1019"/>
      <c r="C145" s="293" t="s">
        <v>124</v>
      </c>
      <c r="D145" s="1026" t="s">
        <v>197</v>
      </c>
      <c r="E145" s="1028"/>
      <c r="F145" s="277"/>
      <c r="G145" s="97">
        <f t="shared" si="32"/>
        <v>100</v>
      </c>
      <c r="H145" s="97"/>
      <c r="I145" s="98">
        <f t="shared" ref="I145:N145" si="33">I146+I147+I148</f>
        <v>0</v>
      </c>
      <c r="J145" s="98">
        <f t="shared" si="33"/>
        <v>0</v>
      </c>
      <c r="K145" s="98">
        <f t="shared" si="33"/>
        <v>0</v>
      </c>
      <c r="L145" s="98">
        <f t="shared" si="33"/>
        <v>0</v>
      </c>
      <c r="M145" s="361">
        <f t="shared" si="33"/>
        <v>0</v>
      </c>
      <c r="N145" s="98">
        <f t="shared" si="33"/>
        <v>0</v>
      </c>
    </row>
    <row r="146" spans="1:14" ht="21.75" customHeight="1" thickBot="1" x14ac:dyDescent="0.25">
      <c r="A146" s="978"/>
      <c r="B146" s="1019"/>
      <c r="C146" s="71"/>
      <c r="D146" s="973" t="s">
        <v>198</v>
      </c>
      <c r="E146" s="974"/>
      <c r="F146" s="275" t="s">
        <v>22</v>
      </c>
      <c r="G146" s="84">
        <f t="shared" si="32"/>
        <v>101</v>
      </c>
      <c r="H146" s="84"/>
      <c r="I146" s="89">
        <f>SUM(J146:M146)</f>
        <v>0</v>
      </c>
      <c r="J146" s="89">
        <v>0</v>
      </c>
      <c r="K146" s="89">
        <v>0</v>
      </c>
      <c r="L146" s="89">
        <v>0</v>
      </c>
      <c r="M146" s="113">
        <v>0</v>
      </c>
      <c r="N146" s="89">
        <v>0</v>
      </c>
    </row>
    <row r="147" spans="1:14" ht="23.25" customHeight="1" thickBot="1" x14ac:dyDescent="0.25">
      <c r="A147" s="978"/>
      <c r="B147" s="1019"/>
      <c r="C147" s="71"/>
      <c r="D147" s="973" t="s">
        <v>199</v>
      </c>
      <c r="E147" s="974"/>
      <c r="F147" s="275" t="s">
        <v>22</v>
      </c>
      <c r="G147" s="84">
        <f t="shared" si="32"/>
        <v>102</v>
      </c>
      <c r="H147" s="84"/>
      <c r="I147" s="89">
        <f>SUM(J147:M147)</f>
        <v>0</v>
      </c>
      <c r="J147" s="89">
        <v>0</v>
      </c>
      <c r="K147" s="89">
        <v>0</v>
      </c>
      <c r="L147" s="89">
        <v>0</v>
      </c>
      <c r="M147" s="113">
        <v>0</v>
      </c>
      <c r="N147" s="89">
        <v>0</v>
      </c>
    </row>
    <row r="148" spans="1:14" ht="21" customHeight="1" thickBot="1" x14ac:dyDescent="0.25">
      <c r="A148" s="978"/>
      <c r="B148" s="1019"/>
      <c r="C148" s="71"/>
      <c r="D148" s="973" t="s">
        <v>200</v>
      </c>
      <c r="E148" s="974"/>
      <c r="F148" s="275" t="s">
        <v>22</v>
      </c>
      <c r="G148" s="84">
        <f t="shared" si="32"/>
        <v>103</v>
      </c>
      <c r="H148" s="84"/>
      <c r="I148" s="89">
        <f>SUM(J148:M148)</f>
        <v>0</v>
      </c>
      <c r="J148" s="89">
        <v>0</v>
      </c>
      <c r="K148" s="89">
        <v>0</v>
      </c>
      <c r="L148" s="89">
        <v>0</v>
      </c>
      <c r="M148" s="113">
        <v>0</v>
      </c>
      <c r="N148" s="89">
        <v>0</v>
      </c>
    </row>
    <row r="149" spans="1:14" ht="22.5" customHeight="1" thickBot="1" x14ac:dyDescent="0.25">
      <c r="A149" s="978"/>
      <c r="B149" s="1019"/>
      <c r="C149" s="293" t="s">
        <v>63</v>
      </c>
      <c r="D149" s="986" t="s">
        <v>75</v>
      </c>
      <c r="E149" s="988"/>
      <c r="F149" s="276"/>
      <c r="G149" s="97">
        <f t="shared" si="32"/>
        <v>104</v>
      </c>
      <c r="H149" s="97"/>
      <c r="I149" s="100">
        <f t="shared" ref="I149:N149" si="34">I150+I153+I156+I157</f>
        <v>0</v>
      </c>
      <c r="J149" s="100">
        <f t="shared" si="34"/>
        <v>0</v>
      </c>
      <c r="K149" s="100">
        <f t="shared" si="34"/>
        <v>0</v>
      </c>
      <c r="L149" s="100">
        <f t="shared" si="34"/>
        <v>0</v>
      </c>
      <c r="M149" s="362">
        <f t="shared" si="34"/>
        <v>0</v>
      </c>
      <c r="N149" s="100">
        <f t="shared" si="34"/>
        <v>0</v>
      </c>
    </row>
    <row r="150" spans="1:14" ht="13.5" thickBot="1" x14ac:dyDescent="0.25">
      <c r="A150" s="978"/>
      <c r="B150" s="1019"/>
      <c r="C150" s="1018"/>
      <c r="D150" s="973" t="s">
        <v>282</v>
      </c>
      <c r="E150" s="974"/>
      <c r="F150" s="275" t="s">
        <v>650</v>
      </c>
      <c r="G150" s="84">
        <f t="shared" si="32"/>
        <v>105</v>
      </c>
      <c r="H150" s="84"/>
      <c r="I150" s="250">
        <f t="shared" ref="I150:I155" si="35">SUM(J150:M150)</f>
        <v>0</v>
      </c>
      <c r="J150" s="250">
        <f>SUM(J151:J152)</f>
        <v>0</v>
      </c>
      <c r="K150" s="250">
        <f>SUM(K151:K152)</f>
        <v>0</v>
      </c>
      <c r="L150" s="250">
        <f>SUM(L151:L152)</f>
        <v>0</v>
      </c>
      <c r="M150" s="365">
        <f>SUM(M151:M152)</f>
        <v>0</v>
      </c>
      <c r="N150" s="250">
        <f>SUM(N151:N152)</f>
        <v>0</v>
      </c>
    </row>
    <row r="151" spans="1:14" ht="13.5" thickBot="1" x14ac:dyDescent="0.25">
      <c r="A151" s="978"/>
      <c r="B151" s="1019"/>
      <c r="C151" s="1019"/>
      <c r="D151" s="306"/>
      <c r="E151" s="310" t="s">
        <v>414</v>
      </c>
      <c r="F151" s="311"/>
      <c r="G151" s="308">
        <f t="shared" si="32"/>
        <v>106</v>
      </c>
      <c r="H151" s="308"/>
      <c r="I151" s="312">
        <f t="shared" si="35"/>
        <v>0</v>
      </c>
      <c r="J151" s="312"/>
      <c r="K151" s="312"/>
      <c r="L151" s="312"/>
      <c r="M151" s="366"/>
      <c r="N151" s="312"/>
    </row>
    <row r="152" spans="1:14" ht="13.5" thickBot="1" x14ac:dyDescent="0.25">
      <c r="A152" s="978"/>
      <c r="B152" s="1019"/>
      <c r="C152" s="1019"/>
      <c r="D152" s="306"/>
      <c r="E152" s="310" t="s">
        <v>415</v>
      </c>
      <c r="F152" s="311"/>
      <c r="G152" s="308">
        <f t="shared" si="32"/>
        <v>107</v>
      </c>
      <c r="H152" s="308"/>
      <c r="I152" s="312">
        <f t="shared" si="35"/>
        <v>0</v>
      </c>
      <c r="J152" s="312"/>
      <c r="K152" s="312"/>
      <c r="L152" s="312"/>
      <c r="M152" s="366"/>
      <c r="N152" s="312"/>
    </row>
    <row r="153" spans="1:14" ht="19.5" customHeight="1" thickBot="1" x14ac:dyDescent="0.25">
      <c r="A153" s="978"/>
      <c r="B153" s="1019"/>
      <c r="C153" s="1019"/>
      <c r="D153" s="973" t="s">
        <v>201</v>
      </c>
      <c r="E153" s="974"/>
      <c r="F153" s="275" t="s">
        <v>651</v>
      </c>
      <c r="G153" s="84">
        <f t="shared" si="32"/>
        <v>108</v>
      </c>
      <c r="H153" s="84"/>
      <c r="I153" s="250">
        <f t="shared" si="35"/>
        <v>0</v>
      </c>
      <c r="J153" s="250">
        <f>SUM(J154:J155)</f>
        <v>0</v>
      </c>
      <c r="K153" s="250">
        <f>SUM(K154:K155)</f>
        <v>0</v>
      </c>
      <c r="L153" s="250">
        <f>SUM(L154:L155)</f>
        <v>0</v>
      </c>
      <c r="M153" s="365">
        <f>SUM(M154:M155)</f>
        <v>0</v>
      </c>
      <c r="N153" s="250">
        <f>SUM(N154:N155)</f>
        <v>0</v>
      </c>
    </row>
    <row r="154" spans="1:14" ht="13.5" thickBot="1" x14ac:dyDescent="0.25">
      <c r="A154" s="978"/>
      <c r="B154" s="1019"/>
      <c r="C154" s="1019"/>
      <c r="D154" s="313"/>
      <c r="E154" s="310" t="s">
        <v>414</v>
      </c>
      <c r="F154" s="311"/>
      <c r="G154" s="308">
        <f t="shared" si="32"/>
        <v>109</v>
      </c>
      <c r="H154" s="308"/>
      <c r="I154" s="125">
        <f t="shared" si="35"/>
        <v>0</v>
      </c>
      <c r="J154" s="125"/>
      <c r="K154" s="125"/>
      <c r="L154" s="125"/>
      <c r="M154" s="367"/>
      <c r="N154" s="125"/>
    </row>
    <row r="155" spans="1:14" ht="13.5" thickBot="1" x14ac:dyDescent="0.25">
      <c r="A155" s="978"/>
      <c r="B155" s="1019"/>
      <c r="C155" s="1019"/>
      <c r="D155" s="313"/>
      <c r="E155" s="310" t="s">
        <v>415</v>
      </c>
      <c r="F155" s="311"/>
      <c r="G155" s="308">
        <f t="shared" si="32"/>
        <v>110</v>
      </c>
      <c r="H155" s="308"/>
      <c r="I155" s="125">
        <f t="shared" si="35"/>
        <v>0</v>
      </c>
      <c r="J155" s="125"/>
      <c r="K155" s="125"/>
      <c r="L155" s="125"/>
      <c r="M155" s="367"/>
      <c r="N155" s="125"/>
    </row>
    <row r="156" spans="1:14" ht="13.5" thickBot="1" x14ac:dyDescent="0.25">
      <c r="A156" s="978"/>
      <c r="B156" s="1019"/>
      <c r="C156" s="1020"/>
      <c r="D156" s="973" t="s">
        <v>202</v>
      </c>
      <c r="E156" s="974"/>
      <c r="F156" s="275" t="s">
        <v>652</v>
      </c>
      <c r="G156" s="84">
        <f t="shared" si="32"/>
        <v>111</v>
      </c>
      <c r="H156" s="84"/>
      <c r="I156" s="250">
        <f t="shared" ref="I156:I164" si="36">SUM(J156:M156)</f>
        <v>0</v>
      </c>
      <c r="J156" s="250"/>
      <c r="K156" s="250"/>
      <c r="L156" s="250"/>
      <c r="M156" s="365"/>
      <c r="N156" s="250"/>
    </row>
    <row r="157" spans="1:14" ht="13.5" thickBot="1" x14ac:dyDescent="0.25">
      <c r="A157" s="978"/>
      <c r="B157" s="1019"/>
      <c r="C157" s="71"/>
      <c r="D157" s="973" t="s">
        <v>203</v>
      </c>
      <c r="E157" s="974"/>
      <c r="F157" s="275"/>
      <c r="G157" s="84">
        <f t="shared" si="32"/>
        <v>112</v>
      </c>
      <c r="H157" s="84"/>
      <c r="I157" s="89">
        <f t="shared" si="36"/>
        <v>0</v>
      </c>
      <c r="J157" s="89">
        <v>0</v>
      </c>
      <c r="K157" s="89">
        <v>0</v>
      </c>
      <c r="L157" s="89">
        <v>0</v>
      </c>
      <c r="M157" s="113">
        <v>0</v>
      </c>
      <c r="N157" s="89">
        <v>0</v>
      </c>
    </row>
    <row r="158" spans="1:14" ht="21" customHeight="1" thickBot="1" x14ac:dyDescent="0.25">
      <c r="A158" s="978"/>
      <c r="B158" s="1019"/>
      <c r="C158" s="293" t="s">
        <v>68</v>
      </c>
      <c r="D158" s="986" t="s">
        <v>204</v>
      </c>
      <c r="E158" s="988"/>
      <c r="F158" s="276"/>
      <c r="G158" s="97">
        <f t="shared" si="32"/>
        <v>113</v>
      </c>
      <c r="H158" s="409">
        <f>SUM(H159:H161)</f>
        <v>0.22814000000000001</v>
      </c>
      <c r="I158" s="414">
        <f t="shared" si="36"/>
        <v>243093.66443999999</v>
      </c>
      <c r="J158" s="412">
        <f>SUM(J159:J161)</f>
        <v>49478.090640000002</v>
      </c>
      <c r="K158" s="412">
        <f t="shared" ref="K158:M158" si="37">SUM(K159:K161)</f>
        <v>73592.032359999997</v>
      </c>
      <c r="L158" s="412">
        <f t="shared" si="37"/>
        <v>57622.232360000002</v>
      </c>
      <c r="M158" s="412">
        <f t="shared" si="37"/>
        <v>62401.309079999999</v>
      </c>
      <c r="N158" s="100">
        <f>SUM(N159:N164)</f>
        <v>0</v>
      </c>
    </row>
    <row r="159" spans="1:14" ht="13.5" thickBot="1" x14ac:dyDescent="0.25">
      <c r="A159" s="978"/>
      <c r="B159" s="1019"/>
      <c r="C159" s="314"/>
      <c r="D159" s="973" t="s">
        <v>205</v>
      </c>
      <c r="E159" s="974"/>
      <c r="F159" s="275">
        <v>645</v>
      </c>
      <c r="G159" s="84">
        <f t="shared" si="32"/>
        <v>114</v>
      </c>
      <c r="H159" s="410">
        <f>(15.8+0.214)%</f>
        <v>0.16014</v>
      </c>
      <c r="I159" s="101">
        <f t="shared" si="36"/>
        <v>170636.53644</v>
      </c>
      <c r="J159" s="405">
        <f>(J133+J143+J149)*$H$159</f>
        <v>34730.522640000003</v>
      </c>
      <c r="K159" s="405">
        <f t="shared" ref="K159:M159" si="38">(K133+K143+K149)*$H$159</f>
        <v>51657.000359999998</v>
      </c>
      <c r="L159" s="405">
        <f t="shared" si="38"/>
        <v>40447.200360000003</v>
      </c>
      <c r="M159" s="405">
        <f t="shared" si="38"/>
        <v>43801.81308</v>
      </c>
      <c r="N159" s="89"/>
    </row>
    <row r="160" spans="1:14" ht="13.5" thickBot="1" x14ac:dyDescent="0.25">
      <c r="A160" s="978"/>
      <c r="B160" s="1019"/>
      <c r="C160" s="315"/>
      <c r="D160" s="973" t="s">
        <v>206</v>
      </c>
      <c r="E160" s="974"/>
      <c r="F160" s="275">
        <v>6452</v>
      </c>
      <c r="G160" s="84">
        <f t="shared" si="32"/>
        <v>115</v>
      </c>
      <c r="H160" s="410">
        <v>7.4999999999999997E-3</v>
      </c>
      <c r="I160" s="101">
        <f t="shared" si="36"/>
        <v>7991.5950000000003</v>
      </c>
      <c r="J160" s="405">
        <f>(J133+J143+J149)*$H$160</f>
        <v>1626.57</v>
      </c>
      <c r="K160" s="405">
        <f t="shared" ref="K160:M160" si="39">(K133+K143+K149)*$H$160</f>
        <v>2419.3049999999998</v>
      </c>
      <c r="L160" s="405">
        <f t="shared" si="39"/>
        <v>1894.3049999999998</v>
      </c>
      <c r="M160" s="405">
        <f t="shared" si="39"/>
        <v>2051.415</v>
      </c>
      <c r="N160" s="89"/>
    </row>
    <row r="161" spans="1:14" ht="13.5" thickBot="1" x14ac:dyDescent="0.25">
      <c r="A161" s="978"/>
      <c r="B161" s="1019"/>
      <c r="C161" s="315"/>
      <c r="D161" s="973" t="s">
        <v>207</v>
      </c>
      <c r="E161" s="974"/>
      <c r="F161" s="275">
        <v>6453</v>
      </c>
      <c r="G161" s="84">
        <f t="shared" si="32"/>
        <v>116</v>
      </c>
      <c r="H161" s="410">
        <v>6.0499999999999998E-2</v>
      </c>
      <c r="I161" s="101">
        <f t="shared" si="36"/>
        <v>64465.532999999996</v>
      </c>
      <c r="J161" s="405">
        <f>(J133+J143+J149)*$H$161</f>
        <v>13120.998</v>
      </c>
      <c r="K161" s="405">
        <f t="shared" ref="K161:M161" si="40">(K133+K143+K149)*$H$161</f>
        <v>19515.726999999999</v>
      </c>
      <c r="L161" s="405">
        <f t="shared" si="40"/>
        <v>15280.726999999999</v>
      </c>
      <c r="M161" s="405">
        <f t="shared" si="40"/>
        <v>16548.080999999998</v>
      </c>
      <c r="N161" s="89"/>
    </row>
    <row r="162" spans="1:14" ht="21" customHeight="1" thickBot="1" x14ac:dyDescent="0.25">
      <c r="A162" s="978"/>
      <c r="B162" s="1019"/>
      <c r="C162" s="315"/>
      <c r="D162" s="973" t="s">
        <v>208</v>
      </c>
      <c r="E162" s="974"/>
      <c r="F162" s="275"/>
      <c r="G162" s="84">
        <f t="shared" si="32"/>
        <v>117</v>
      </c>
      <c r="H162" s="84"/>
      <c r="I162" s="101">
        <f t="shared" si="36"/>
        <v>0</v>
      </c>
      <c r="J162" s="89"/>
      <c r="K162" s="89"/>
      <c r="L162" s="89"/>
      <c r="M162" s="113"/>
      <c r="N162" s="89"/>
    </row>
    <row r="163" spans="1:14" ht="13.5" thickBot="1" x14ac:dyDescent="0.25">
      <c r="A163" s="978"/>
      <c r="B163" s="1019"/>
      <c r="C163" s="315"/>
      <c r="D163" s="973" t="s">
        <v>209</v>
      </c>
      <c r="E163" s="974"/>
      <c r="F163" s="275"/>
      <c r="G163" s="84">
        <f t="shared" si="32"/>
        <v>118</v>
      </c>
      <c r="H163" s="84"/>
      <c r="I163" s="101">
        <f t="shared" si="36"/>
        <v>0</v>
      </c>
      <c r="J163" s="89"/>
      <c r="K163" s="89"/>
      <c r="L163" s="89"/>
      <c r="M163" s="113"/>
      <c r="N163" s="89"/>
    </row>
    <row r="164" spans="1:14" ht="13.5" thickBot="1" x14ac:dyDescent="0.25">
      <c r="A164" s="978"/>
      <c r="B164" s="1019"/>
      <c r="C164" s="298"/>
      <c r="D164" s="973" t="s">
        <v>210</v>
      </c>
      <c r="E164" s="974"/>
      <c r="F164" s="275"/>
      <c r="G164" s="84">
        <f t="shared" si="32"/>
        <v>119</v>
      </c>
      <c r="H164" s="84"/>
      <c r="I164" s="101">
        <f t="shared" si="36"/>
        <v>0</v>
      </c>
      <c r="J164" s="89"/>
      <c r="K164" s="89"/>
      <c r="L164" s="89"/>
      <c r="M164" s="113"/>
      <c r="N164" s="89"/>
    </row>
    <row r="165" spans="1:14" ht="22.5" customHeight="1" thickBot="1" x14ac:dyDescent="0.25">
      <c r="A165" s="978"/>
      <c r="B165" s="1019"/>
      <c r="C165" s="986" t="s">
        <v>469</v>
      </c>
      <c r="D165" s="987"/>
      <c r="E165" s="988"/>
      <c r="F165" s="276"/>
      <c r="G165" s="97">
        <f t="shared" si="32"/>
        <v>120</v>
      </c>
      <c r="H165" s="97"/>
      <c r="I165" s="100">
        <f t="shared" ref="I165:N165" si="41">I166+I169+I170+I171+I172+I173</f>
        <v>66400</v>
      </c>
      <c r="J165" s="100">
        <f t="shared" si="41"/>
        <v>16600</v>
      </c>
      <c r="K165" s="100">
        <f t="shared" si="41"/>
        <v>16600</v>
      </c>
      <c r="L165" s="100">
        <f t="shared" si="41"/>
        <v>16600</v>
      </c>
      <c r="M165" s="362">
        <f t="shared" si="41"/>
        <v>16600</v>
      </c>
      <c r="N165" s="100">
        <f t="shared" si="41"/>
        <v>0</v>
      </c>
    </row>
    <row r="166" spans="1:14" ht="13.5" thickBot="1" x14ac:dyDescent="0.25">
      <c r="A166" s="978"/>
      <c r="B166" s="1019"/>
      <c r="C166" s="71" t="s">
        <v>27</v>
      </c>
      <c r="D166" s="973" t="s">
        <v>470</v>
      </c>
      <c r="E166" s="974"/>
      <c r="F166" s="275"/>
      <c r="G166" s="84">
        <f t="shared" si="32"/>
        <v>121</v>
      </c>
      <c r="H166" s="84"/>
      <c r="I166" s="89">
        <f t="shared" ref="I166:N166" si="42">SUM(I167:I168)</f>
        <v>0</v>
      </c>
      <c r="J166" s="89">
        <f t="shared" si="42"/>
        <v>0</v>
      </c>
      <c r="K166" s="89">
        <f t="shared" si="42"/>
        <v>0</v>
      </c>
      <c r="L166" s="89">
        <f t="shared" si="42"/>
        <v>0</v>
      </c>
      <c r="M166" s="113">
        <f t="shared" si="42"/>
        <v>0</v>
      </c>
      <c r="N166" s="89">
        <f t="shared" si="42"/>
        <v>0</v>
      </c>
    </row>
    <row r="167" spans="1:14" ht="13.5" thickBot="1" x14ac:dyDescent="0.25">
      <c r="A167" s="978"/>
      <c r="B167" s="1019"/>
      <c r="C167" s="71"/>
      <c r="D167" s="973" t="s">
        <v>211</v>
      </c>
      <c r="E167" s="974"/>
      <c r="F167" s="275">
        <v>6581</v>
      </c>
      <c r="G167" s="84">
        <f t="shared" si="32"/>
        <v>122</v>
      </c>
      <c r="H167" s="84"/>
      <c r="I167" s="89">
        <f t="shared" ref="I167:I172" si="43">SUM(J167:M167)</f>
        <v>0</v>
      </c>
      <c r="J167" s="89"/>
      <c r="K167" s="89"/>
      <c r="L167" s="89"/>
      <c r="M167" s="113"/>
      <c r="N167" s="89"/>
    </row>
    <row r="168" spans="1:14" ht="13.5" thickBot="1" x14ac:dyDescent="0.25">
      <c r="A168" s="978"/>
      <c r="B168" s="1019"/>
      <c r="C168" s="71"/>
      <c r="D168" s="973" t="s">
        <v>212</v>
      </c>
      <c r="E168" s="974"/>
      <c r="F168" s="275" t="s">
        <v>653</v>
      </c>
      <c r="G168" s="84">
        <f t="shared" si="32"/>
        <v>123</v>
      </c>
      <c r="H168" s="84"/>
      <c r="I168" s="89">
        <f t="shared" si="43"/>
        <v>0</v>
      </c>
      <c r="J168" s="89"/>
      <c r="K168" s="89"/>
      <c r="L168" s="89"/>
      <c r="M168" s="113"/>
      <c r="N168" s="89"/>
    </row>
    <row r="169" spans="1:14" ht="13.5" thickBot="1" x14ac:dyDescent="0.25">
      <c r="A169" s="979"/>
      <c r="B169" s="1020"/>
      <c r="C169" s="71" t="s">
        <v>38</v>
      </c>
      <c r="D169" s="973" t="s">
        <v>213</v>
      </c>
      <c r="E169" s="974"/>
      <c r="F169" s="275">
        <v>653</v>
      </c>
      <c r="G169" s="84">
        <f t="shared" si="32"/>
        <v>124</v>
      </c>
      <c r="H169" s="84"/>
      <c r="I169" s="89">
        <f t="shared" si="43"/>
        <v>0</v>
      </c>
      <c r="J169" s="89"/>
      <c r="K169" s="89"/>
      <c r="L169" s="89"/>
      <c r="M169" s="113"/>
      <c r="N169" s="89"/>
    </row>
    <row r="170" spans="1:14" ht="13.5" thickBot="1" x14ac:dyDescent="0.25">
      <c r="A170" s="977"/>
      <c r="B170" s="1018"/>
      <c r="C170" s="71" t="s">
        <v>40</v>
      </c>
      <c r="D170" s="973" t="s">
        <v>287</v>
      </c>
      <c r="E170" s="974"/>
      <c r="F170" s="275"/>
      <c r="G170" s="84">
        <f t="shared" si="32"/>
        <v>125</v>
      </c>
      <c r="H170" s="84"/>
      <c r="I170" s="89">
        <f t="shared" si="43"/>
        <v>0</v>
      </c>
      <c r="J170" s="89"/>
      <c r="K170" s="89"/>
      <c r="L170" s="89"/>
      <c r="M170" s="113"/>
      <c r="N170" s="89"/>
    </row>
    <row r="171" spans="1:14" ht="13.5" thickBot="1" x14ac:dyDescent="0.25">
      <c r="A171" s="978"/>
      <c r="B171" s="1019"/>
      <c r="C171" s="71" t="s">
        <v>42</v>
      </c>
      <c r="D171" s="973" t="s">
        <v>149</v>
      </c>
      <c r="E171" s="974"/>
      <c r="F171" s="275">
        <v>658</v>
      </c>
      <c r="G171" s="84">
        <f t="shared" si="32"/>
        <v>126</v>
      </c>
      <c r="H171" s="84"/>
      <c r="I171" s="89">
        <f t="shared" si="43"/>
        <v>400</v>
      </c>
      <c r="J171" s="89">
        <v>100</v>
      </c>
      <c r="K171" s="89">
        <v>100</v>
      </c>
      <c r="L171" s="89">
        <v>100</v>
      </c>
      <c r="M171" s="113">
        <v>100</v>
      </c>
      <c r="N171" s="89"/>
    </row>
    <row r="172" spans="1:14" ht="13.5" thickBot="1" x14ac:dyDescent="0.25">
      <c r="A172" s="978"/>
      <c r="B172" s="1019"/>
      <c r="C172" s="71" t="s">
        <v>28</v>
      </c>
      <c r="D172" s="973" t="s">
        <v>288</v>
      </c>
      <c r="E172" s="974"/>
      <c r="F172" s="275">
        <v>681</v>
      </c>
      <c r="G172" s="84">
        <f t="shared" si="32"/>
        <v>127</v>
      </c>
      <c r="H172" s="84"/>
      <c r="I172" s="89">
        <f t="shared" si="43"/>
        <v>66000</v>
      </c>
      <c r="J172" s="89">
        <v>16500</v>
      </c>
      <c r="K172" s="89">
        <v>16500</v>
      </c>
      <c r="L172" s="89">
        <v>16500</v>
      </c>
      <c r="M172" s="113">
        <v>16500</v>
      </c>
      <c r="N172" s="89"/>
    </row>
    <row r="173" spans="1:14" ht="23.25" customHeight="1" thickBot="1" x14ac:dyDescent="0.25">
      <c r="A173" s="978"/>
      <c r="B173" s="1020"/>
      <c r="C173" s="71" t="s">
        <v>34</v>
      </c>
      <c r="D173" s="973" t="s">
        <v>345</v>
      </c>
      <c r="E173" s="974"/>
      <c r="F173" s="275"/>
      <c r="G173" s="84">
        <f t="shared" si="32"/>
        <v>128</v>
      </c>
      <c r="H173" s="84"/>
      <c r="I173" s="89">
        <f t="shared" ref="I173:N173" si="44">I174-I177</f>
        <v>0</v>
      </c>
      <c r="J173" s="89">
        <f t="shared" si="44"/>
        <v>0</v>
      </c>
      <c r="K173" s="89">
        <f t="shared" si="44"/>
        <v>0</v>
      </c>
      <c r="L173" s="89">
        <f t="shared" si="44"/>
        <v>0</v>
      </c>
      <c r="M173" s="113">
        <f t="shared" si="44"/>
        <v>0</v>
      </c>
      <c r="N173" s="89">
        <f t="shared" si="44"/>
        <v>0</v>
      </c>
    </row>
    <row r="174" spans="1:14" ht="13.5" thickBot="1" x14ac:dyDescent="0.25">
      <c r="A174" s="978"/>
      <c r="B174" s="71"/>
      <c r="C174" s="71"/>
      <c r="D174" s="71" t="s">
        <v>51</v>
      </c>
      <c r="E174" s="71" t="s">
        <v>460</v>
      </c>
      <c r="F174" s="86">
        <v>6814</v>
      </c>
      <c r="G174" s="84">
        <f t="shared" si="32"/>
        <v>129</v>
      </c>
      <c r="H174" s="84"/>
      <c r="I174" s="89">
        <f>SUM(J174:M174)</f>
        <v>0</v>
      </c>
      <c r="J174" s="89"/>
      <c r="K174" s="89"/>
      <c r="L174" s="89"/>
      <c r="M174" s="113"/>
      <c r="N174" s="89"/>
    </row>
    <row r="175" spans="1:14" ht="13.5" thickBot="1" x14ac:dyDescent="0.25">
      <c r="A175" s="978"/>
      <c r="B175" s="71"/>
      <c r="C175" s="71"/>
      <c r="D175" s="306" t="s">
        <v>416</v>
      </c>
      <c r="E175" s="310" t="s">
        <v>417</v>
      </c>
      <c r="F175" s="311" t="s">
        <v>654</v>
      </c>
      <c r="G175" s="84">
        <f t="shared" si="32"/>
        <v>130</v>
      </c>
      <c r="H175" s="84"/>
      <c r="I175" s="89">
        <f>SUM(J175:M175)</f>
        <v>0</v>
      </c>
      <c r="J175" s="89"/>
      <c r="K175" s="89"/>
      <c r="L175" s="89"/>
      <c r="M175" s="113"/>
      <c r="N175" s="89"/>
    </row>
    <row r="176" spans="1:14" ht="13.5" thickBot="1" x14ac:dyDescent="0.25">
      <c r="A176" s="978"/>
      <c r="B176" s="71"/>
      <c r="C176" s="71"/>
      <c r="D176" s="306" t="s">
        <v>418</v>
      </c>
      <c r="E176" s="316" t="s">
        <v>419</v>
      </c>
      <c r="F176" s="317"/>
      <c r="G176" s="121" t="s">
        <v>420</v>
      </c>
      <c r="H176" s="408"/>
      <c r="I176" s="89"/>
      <c r="J176" s="89"/>
      <c r="K176" s="89"/>
      <c r="L176" s="89"/>
      <c r="M176" s="113"/>
      <c r="N176" s="89"/>
    </row>
    <row r="177" spans="1:14" ht="23.25" thickBot="1" x14ac:dyDescent="0.25">
      <c r="A177" s="978"/>
      <c r="B177" s="71"/>
      <c r="C177" s="71"/>
      <c r="D177" s="318" t="s">
        <v>52</v>
      </c>
      <c r="E177" s="71" t="s">
        <v>346</v>
      </c>
      <c r="F177" s="86">
        <v>781</v>
      </c>
      <c r="G177" s="84">
        <v>131</v>
      </c>
      <c r="H177" s="84"/>
      <c r="I177" s="89">
        <f t="shared" ref="I177:N177" si="45">I178</f>
        <v>0</v>
      </c>
      <c r="J177" s="89">
        <f t="shared" si="45"/>
        <v>0</v>
      </c>
      <c r="K177" s="89">
        <f t="shared" si="45"/>
        <v>0</v>
      </c>
      <c r="L177" s="89">
        <f t="shared" si="45"/>
        <v>0</v>
      </c>
      <c r="M177" s="113">
        <f t="shared" si="45"/>
        <v>0</v>
      </c>
      <c r="N177" s="89">
        <f t="shared" si="45"/>
        <v>0</v>
      </c>
    </row>
    <row r="178" spans="1:14" ht="13.5" thickBot="1" x14ac:dyDescent="0.25">
      <c r="A178" s="978"/>
      <c r="B178" s="71"/>
      <c r="C178" s="71"/>
      <c r="D178" s="318" t="s">
        <v>65</v>
      </c>
      <c r="E178" s="71" t="s">
        <v>459</v>
      </c>
      <c r="F178" s="86">
        <v>7814</v>
      </c>
      <c r="G178" s="84">
        <f t="shared" ref="G178:G194" si="46">G177+1</f>
        <v>132</v>
      </c>
      <c r="H178" s="84"/>
      <c r="I178" s="89">
        <f t="shared" ref="I178:N178" si="47">I179+I180+I181</f>
        <v>0</v>
      </c>
      <c r="J178" s="89">
        <f>J179+J180+J181</f>
        <v>0</v>
      </c>
      <c r="K178" s="89">
        <f>K179+K180+K181</f>
        <v>0</v>
      </c>
      <c r="L178" s="89">
        <f>L179+L180+L181</f>
        <v>0</v>
      </c>
      <c r="M178" s="113">
        <f>M179+M180+M181</f>
        <v>0</v>
      </c>
      <c r="N178" s="89">
        <f t="shared" si="47"/>
        <v>0</v>
      </c>
    </row>
    <row r="179" spans="1:14" ht="13.5" thickBot="1" x14ac:dyDescent="0.25">
      <c r="A179" s="978"/>
      <c r="B179" s="71"/>
      <c r="C179" s="71"/>
      <c r="D179" s="71"/>
      <c r="E179" s="71" t="s">
        <v>426</v>
      </c>
      <c r="F179" s="86">
        <v>7812</v>
      </c>
      <c r="G179" s="84">
        <f t="shared" si="46"/>
        <v>133</v>
      </c>
      <c r="H179" s="84"/>
      <c r="I179" s="89">
        <f>SUM(J179:M179)</f>
        <v>0</v>
      </c>
      <c r="J179" s="89"/>
      <c r="K179" s="89"/>
      <c r="L179" s="89"/>
      <c r="M179" s="113"/>
      <c r="N179" s="89"/>
    </row>
    <row r="180" spans="1:14" ht="13.5" thickBot="1" x14ac:dyDescent="0.25">
      <c r="A180" s="978"/>
      <c r="B180" s="71"/>
      <c r="C180" s="71"/>
      <c r="D180" s="71"/>
      <c r="E180" s="71" t="s">
        <v>347</v>
      </c>
      <c r="F180" s="86"/>
      <c r="G180" s="84">
        <f t="shared" si="46"/>
        <v>134</v>
      </c>
      <c r="H180" s="84"/>
      <c r="I180" s="89">
        <f>SUM(J180:M180)</f>
        <v>0</v>
      </c>
      <c r="J180" s="89"/>
      <c r="K180" s="89"/>
      <c r="L180" s="89"/>
      <c r="M180" s="113"/>
      <c r="N180" s="89"/>
    </row>
    <row r="181" spans="1:14" ht="13.5" thickBot="1" x14ac:dyDescent="0.25">
      <c r="A181" s="978"/>
      <c r="B181" s="71"/>
      <c r="C181" s="71"/>
      <c r="D181" s="71"/>
      <c r="E181" s="71" t="s">
        <v>348</v>
      </c>
      <c r="F181" s="86"/>
      <c r="G181" s="84">
        <f t="shared" si="46"/>
        <v>135</v>
      </c>
      <c r="H181" s="84"/>
      <c r="I181" s="89">
        <f>SUM(J181:M181)</f>
        <v>0</v>
      </c>
      <c r="J181" s="89"/>
      <c r="K181" s="89"/>
      <c r="L181" s="89"/>
      <c r="M181" s="113"/>
      <c r="N181" s="89"/>
    </row>
    <row r="182" spans="1:14" ht="21.75" customHeight="1" thickBot="1" x14ac:dyDescent="0.25">
      <c r="A182" s="978"/>
      <c r="B182" s="282" t="s">
        <v>21</v>
      </c>
      <c r="C182" s="282"/>
      <c r="D182" s="1023" t="s">
        <v>471</v>
      </c>
      <c r="E182" s="1025"/>
      <c r="F182" s="292"/>
      <c r="G182" s="284">
        <f t="shared" si="46"/>
        <v>136</v>
      </c>
      <c r="H182" s="284"/>
      <c r="I182" s="88">
        <f>I183+I186+I189</f>
        <v>0</v>
      </c>
      <c r="J182" s="88">
        <f>J183+J187+J189</f>
        <v>0</v>
      </c>
      <c r="K182" s="88">
        <f>K183+K187+K189</f>
        <v>0</v>
      </c>
      <c r="L182" s="88">
        <f>L183+L187+L189</f>
        <v>0</v>
      </c>
      <c r="M182" s="353">
        <f>M183+M187+M189</f>
        <v>0</v>
      </c>
      <c r="N182" s="88">
        <f>N183+N187+N189</f>
        <v>0</v>
      </c>
    </row>
    <row r="183" spans="1:14" ht="13.5" thickBot="1" x14ac:dyDescent="0.25">
      <c r="A183" s="978"/>
      <c r="B183" s="1018"/>
      <c r="C183" s="71" t="s">
        <v>27</v>
      </c>
      <c r="D183" s="973" t="s">
        <v>461</v>
      </c>
      <c r="E183" s="974"/>
      <c r="F183" s="275"/>
      <c r="G183" s="84">
        <f t="shared" si="46"/>
        <v>137</v>
      </c>
      <c r="H183" s="84"/>
      <c r="I183" s="89">
        <f t="shared" ref="I183:N183" si="48">I184+I185</f>
        <v>0</v>
      </c>
      <c r="J183" s="89">
        <f t="shared" si="48"/>
        <v>0</v>
      </c>
      <c r="K183" s="89">
        <f t="shared" si="48"/>
        <v>0</v>
      </c>
      <c r="L183" s="89">
        <f t="shared" si="48"/>
        <v>0</v>
      </c>
      <c r="M183" s="113">
        <f t="shared" si="48"/>
        <v>0</v>
      </c>
      <c r="N183" s="89">
        <f t="shared" si="48"/>
        <v>0</v>
      </c>
    </row>
    <row r="184" spans="1:14" ht="13.5" thickBot="1" x14ac:dyDescent="0.25">
      <c r="A184" s="978"/>
      <c r="B184" s="1019"/>
      <c r="C184" s="71"/>
      <c r="D184" s="71" t="s">
        <v>237</v>
      </c>
      <c r="E184" s="71" t="s">
        <v>294</v>
      </c>
      <c r="F184" s="86">
        <v>666</v>
      </c>
      <c r="G184" s="84">
        <f t="shared" si="46"/>
        <v>138</v>
      </c>
      <c r="H184" s="84"/>
      <c r="I184" s="89">
        <f>SUM(J184:M184)</f>
        <v>0</v>
      </c>
      <c r="J184" s="89"/>
      <c r="K184" s="89"/>
      <c r="L184" s="89"/>
      <c r="M184" s="113"/>
      <c r="N184" s="89"/>
    </row>
    <row r="185" spans="1:14" ht="13.5" thickBot="1" x14ac:dyDescent="0.25">
      <c r="A185" s="978"/>
      <c r="B185" s="1019"/>
      <c r="C185" s="71"/>
      <c r="D185" s="71" t="s">
        <v>66</v>
      </c>
      <c r="E185" s="71" t="s">
        <v>349</v>
      </c>
      <c r="F185" s="86"/>
      <c r="G185" s="84">
        <f t="shared" si="46"/>
        <v>139</v>
      </c>
      <c r="H185" s="84"/>
      <c r="I185" s="89">
        <f>SUM(J185:M185)</f>
        <v>0</v>
      </c>
      <c r="J185" s="112"/>
      <c r="K185" s="112"/>
      <c r="L185" s="112"/>
      <c r="M185" s="368"/>
      <c r="N185" s="112"/>
    </row>
    <row r="186" spans="1:14" ht="21" customHeight="1" thickBot="1" x14ac:dyDescent="0.25">
      <c r="A186" s="978"/>
      <c r="B186" s="1019"/>
      <c r="C186" s="71" t="s">
        <v>38</v>
      </c>
      <c r="D186" s="973" t="s">
        <v>440</v>
      </c>
      <c r="E186" s="974"/>
      <c r="F186" s="275"/>
      <c r="G186" s="84">
        <f t="shared" si="46"/>
        <v>140</v>
      </c>
      <c r="H186" s="399"/>
      <c r="I186" s="113">
        <f>I187+I188</f>
        <v>0</v>
      </c>
      <c r="J186" s="114">
        <f>SUM(J187:J188)</f>
        <v>0</v>
      </c>
      <c r="K186" s="114">
        <f>SUM(K187:K188)</f>
        <v>0</v>
      </c>
      <c r="L186" s="114">
        <f>SUM(L187:L188)</f>
        <v>0</v>
      </c>
      <c r="M186" s="369">
        <f>SUM(M187:M188)</f>
        <v>0</v>
      </c>
      <c r="N186" s="380">
        <f>SUM(N187:N188)</f>
        <v>0</v>
      </c>
    </row>
    <row r="187" spans="1:14" ht="13.5" thickBot="1" x14ac:dyDescent="0.25">
      <c r="A187" s="978"/>
      <c r="B187" s="1019"/>
      <c r="C187" s="71"/>
      <c r="D187" s="71" t="s">
        <v>76</v>
      </c>
      <c r="E187" s="71" t="s">
        <v>294</v>
      </c>
      <c r="F187" s="86">
        <v>665</v>
      </c>
      <c r="G187" s="84">
        <f t="shared" si="46"/>
        <v>141</v>
      </c>
      <c r="H187" s="84"/>
      <c r="I187" s="89">
        <f>SUM(J187:M187)</f>
        <v>0</v>
      </c>
      <c r="J187" s="115"/>
      <c r="K187" s="115"/>
      <c r="L187" s="115"/>
      <c r="M187" s="370"/>
      <c r="N187" s="115"/>
    </row>
    <row r="188" spans="1:14" ht="13.5" thickBot="1" x14ac:dyDescent="0.25">
      <c r="A188" s="978"/>
      <c r="B188" s="1019"/>
      <c r="C188" s="71"/>
      <c r="D188" s="71" t="s">
        <v>99</v>
      </c>
      <c r="E188" s="71" t="s">
        <v>295</v>
      </c>
      <c r="F188" s="86"/>
      <c r="G188" s="84">
        <f t="shared" si="46"/>
        <v>142</v>
      </c>
      <c r="H188" s="84"/>
      <c r="I188" s="89">
        <f>SUM(J188:M188)</f>
        <v>0</v>
      </c>
      <c r="J188" s="89"/>
      <c r="K188" s="89"/>
      <c r="L188" s="89"/>
      <c r="M188" s="113"/>
      <c r="N188" s="89"/>
    </row>
    <row r="189" spans="1:14" ht="13.5" thickBot="1" x14ac:dyDescent="0.25">
      <c r="A189" s="978"/>
      <c r="B189" s="1020"/>
      <c r="C189" s="71" t="s">
        <v>40</v>
      </c>
      <c r="D189" s="973" t="s">
        <v>296</v>
      </c>
      <c r="E189" s="974"/>
      <c r="F189" s="275">
        <v>668</v>
      </c>
      <c r="G189" s="84">
        <f t="shared" si="46"/>
        <v>143</v>
      </c>
      <c r="H189" s="84"/>
      <c r="I189" s="89">
        <f>SUM(J189:M189)</f>
        <v>0</v>
      </c>
      <c r="J189" s="89"/>
      <c r="K189" s="89"/>
      <c r="L189" s="89"/>
      <c r="M189" s="113"/>
      <c r="N189" s="89"/>
    </row>
    <row r="190" spans="1:14" ht="13.5" thickBot="1" x14ac:dyDescent="0.25">
      <c r="A190" s="979"/>
      <c r="B190" s="71" t="s">
        <v>17</v>
      </c>
      <c r="C190" s="319"/>
      <c r="D190" s="1041" t="s">
        <v>129</v>
      </c>
      <c r="E190" s="1042"/>
      <c r="F190" s="320"/>
      <c r="G190" s="84">
        <f t="shared" si="46"/>
        <v>144</v>
      </c>
      <c r="H190" s="84"/>
      <c r="I190" s="89">
        <f>SUM(J190:M190)</f>
        <v>0</v>
      </c>
      <c r="J190" s="117"/>
      <c r="K190" s="117"/>
      <c r="L190" s="117"/>
      <c r="M190" s="371"/>
      <c r="N190" s="117"/>
    </row>
    <row r="191" spans="1:14" ht="13.5" thickBot="1" x14ac:dyDescent="0.25">
      <c r="A191" s="87" t="s">
        <v>130</v>
      </c>
      <c r="B191" s="321"/>
      <c r="C191" s="321"/>
      <c r="D191" s="1023" t="s">
        <v>441</v>
      </c>
      <c r="E191" s="1025"/>
      <c r="F191" s="292"/>
      <c r="G191" s="284">
        <f t="shared" si="46"/>
        <v>145</v>
      </c>
      <c r="H191" s="284"/>
      <c r="I191" s="88">
        <f t="shared" ref="I191:N191" si="49">I10-I41</f>
        <v>119388.33556000004</v>
      </c>
      <c r="J191" s="88">
        <f t="shared" si="49"/>
        <v>19062.909359999932</v>
      </c>
      <c r="K191" s="88">
        <f t="shared" si="49"/>
        <v>23683.96763999993</v>
      </c>
      <c r="L191" s="88">
        <f t="shared" si="49"/>
        <v>39914.767639999976</v>
      </c>
      <c r="M191" s="353">
        <f t="shared" si="49"/>
        <v>36726.690919999965</v>
      </c>
      <c r="N191" s="88">
        <f t="shared" si="49"/>
        <v>0</v>
      </c>
    </row>
    <row r="192" spans="1:14" ht="13.5" thickBot="1" x14ac:dyDescent="0.25">
      <c r="A192" s="87"/>
      <c r="B192" s="321"/>
      <c r="C192" s="321"/>
      <c r="D192" s="322"/>
      <c r="E192" s="322" t="s">
        <v>421</v>
      </c>
      <c r="F192" s="323"/>
      <c r="G192" s="121">
        <v>146</v>
      </c>
      <c r="H192" s="408"/>
      <c r="I192" s="324">
        <f>SUM(J192:M192)</f>
        <v>0</v>
      </c>
      <c r="J192" s="324">
        <f t="shared" ref="J192:M192" si="50">J177</f>
        <v>0</v>
      </c>
      <c r="K192" s="324">
        <f t="shared" si="50"/>
        <v>0</v>
      </c>
      <c r="L192" s="324">
        <f t="shared" si="50"/>
        <v>0</v>
      </c>
      <c r="M192" s="324">
        <f t="shared" si="50"/>
        <v>0</v>
      </c>
      <c r="N192" s="324">
        <f t="shared" ref="N192" si="51">N177</f>
        <v>0</v>
      </c>
    </row>
    <row r="193" spans="1:14" ht="13.5" thickBot="1" x14ac:dyDescent="0.25">
      <c r="A193" s="84"/>
      <c r="B193" s="71"/>
      <c r="C193" s="71"/>
      <c r="D193" s="322"/>
      <c r="E193" s="322" t="s">
        <v>297</v>
      </c>
      <c r="F193" s="323"/>
      <c r="G193" s="121">
        <v>147</v>
      </c>
      <c r="H193" s="408"/>
      <c r="I193" s="324">
        <f>SUM(J193:M193)</f>
        <v>0</v>
      </c>
      <c r="J193" s="242">
        <f t="shared" ref="J193:M193" si="52">J174</f>
        <v>0</v>
      </c>
      <c r="K193" s="242">
        <f t="shared" si="52"/>
        <v>0</v>
      </c>
      <c r="L193" s="242">
        <f t="shared" si="52"/>
        <v>0</v>
      </c>
      <c r="M193" s="242">
        <f t="shared" si="52"/>
        <v>0</v>
      </c>
      <c r="N193" s="242">
        <f>N173</f>
        <v>0</v>
      </c>
    </row>
    <row r="194" spans="1:14" ht="13.5" thickBot="1" x14ac:dyDescent="0.25">
      <c r="A194" s="87" t="s">
        <v>132</v>
      </c>
      <c r="B194" s="321"/>
      <c r="C194" s="321"/>
      <c r="D194" s="1023" t="s">
        <v>133</v>
      </c>
      <c r="E194" s="1025"/>
      <c r="F194" s="292"/>
      <c r="G194" s="284">
        <f t="shared" si="46"/>
        <v>148</v>
      </c>
      <c r="H194" s="284"/>
      <c r="I194" s="324">
        <f t="shared" ref="I194" si="53">SUM(J194:M194)</f>
        <v>19102.13368959997</v>
      </c>
      <c r="J194" s="415">
        <f>(J191+J193)*16%</f>
        <v>3050.0654975999892</v>
      </c>
      <c r="K194" s="415">
        <f>(K191+K193)*16%</f>
        <v>3789.4348223999887</v>
      </c>
      <c r="L194" s="415">
        <f>(L191+L193)*16%</f>
        <v>6386.3628223999967</v>
      </c>
      <c r="M194" s="416">
        <f>(M191+M193)*16%</f>
        <v>5876.2705471999943</v>
      </c>
      <c r="N194" s="88">
        <f>(N191+N193)*16%</f>
        <v>0</v>
      </c>
    </row>
    <row r="195" spans="1:14" x14ac:dyDescent="0.2">
      <c r="A195" s="326" t="s">
        <v>134</v>
      </c>
      <c r="B195" s="330"/>
      <c r="C195" s="331"/>
      <c r="D195" s="1043" t="s">
        <v>422</v>
      </c>
      <c r="E195" s="1044"/>
      <c r="F195" s="338"/>
      <c r="G195" s="339">
        <v>149</v>
      </c>
      <c r="H195" s="339"/>
      <c r="I195" s="340"/>
      <c r="J195" s="340"/>
      <c r="K195" s="340"/>
      <c r="L195" s="340"/>
      <c r="M195" s="373"/>
      <c r="N195" s="381"/>
    </row>
    <row r="196" spans="1:14" x14ac:dyDescent="0.2">
      <c r="A196" s="327" t="s">
        <v>141</v>
      </c>
      <c r="B196" s="332"/>
      <c r="C196" s="333"/>
      <c r="D196" s="1035" t="s">
        <v>423</v>
      </c>
      <c r="E196" s="1036"/>
      <c r="F196" s="325"/>
      <c r="G196" s="121">
        <v>150</v>
      </c>
      <c r="H196" s="121"/>
      <c r="I196" s="122"/>
      <c r="J196" s="122"/>
      <c r="K196" s="122"/>
      <c r="L196" s="122"/>
      <c r="M196" s="374"/>
      <c r="N196" s="382"/>
    </row>
    <row r="197" spans="1:14" x14ac:dyDescent="0.2">
      <c r="A197" s="328" t="s">
        <v>143</v>
      </c>
      <c r="B197" s="334"/>
      <c r="C197" s="335"/>
      <c r="D197" s="1037" t="s">
        <v>424</v>
      </c>
      <c r="E197" s="1038"/>
      <c r="F197" s="280"/>
      <c r="G197" s="251">
        <v>151</v>
      </c>
      <c r="H197" s="251"/>
      <c r="I197" s="252"/>
      <c r="J197" s="252"/>
      <c r="K197" s="252"/>
      <c r="L197" s="252"/>
      <c r="M197" s="375"/>
      <c r="N197" s="383"/>
    </row>
    <row r="198" spans="1:14" ht="22.5" customHeight="1" thickBot="1" x14ac:dyDescent="0.25">
      <c r="A198" s="329" t="s">
        <v>150</v>
      </c>
      <c r="B198" s="336"/>
      <c r="C198" s="337"/>
      <c r="D198" s="1039" t="s">
        <v>425</v>
      </c>
      <c r="E198" s="1040"/>
      <c r="F198" s="341"/>
      <c r="G198" s="342">
        <v>152</v>
      </c>
      <c r="H198" s="342"/>
      <c r="I198" s="343"/>
      <c r="J198" s="343"/>
      <c r="K198" s="343"/>
      <c r="L198" s="343"/>
      <c r="M198" s="376"/>
      <c r="N198" s="384"/>
    </row>
  </sheetData>
  <mergeCells count="122">
    <mergeCell ref="D196:E196"/>
    <mergeCell ref="D197:E197"/>
    <mergeCell ref="D198:E198"/>
    <mergeCell ref="D186:E186"/>
    <mergeCell ref="D189:E189"/>
    <mergeCell ref="D190:E190"/>
    <mergeCell ref="D191:E191"/>
    <mergeCell ref="D194:E194"/>
    <mergeCell ref="D195:E195"/>
    <mergeCell ref="D169:E169"/>
    <mergeCell ref="A170:A190"/>
    <mergeCell ref="B170:B173"/>
    <mergeCell ref="D170:E170"/>
    <mergeCell ref="D171:E171"/>
    <mergeCell ref="D172:E172"/>
    <mergeCell ref="D173:E173"/>
    <mergeCell ref="D182:E182"/>
    <mergeCell ref="B183:B189"/>
    <mergeCell ref="D183:E183"/>
    <mergeCell ref="A120:A169"/>
    <mergeCell ref="B120:B169"/>
    <mergeCell ref="D163:E163"/>
    <mergeCell ref="D164:E164"/>
    <mergeCell ref="C165:E165"/>
    <mergeCell ref="D166:E166"/>
    <mergeCell ref="D167:E167"/>
    <mergeCell ref="D168:E168"/>
    <mergeCell ref="D157:E157"/>
    <mergeCell ref="D158:E158"/>
    <mergeCell ref="D159:E159"/>
    <mergeCell ref="D160:E160"/>
    <mergeCell ref="D161:E161"/>
    <mergeCell ref="D162:E162"/>
    <mergeCell ref="D147:E147"/>
    <mergeCell ref="D148:E148"/>
    <mergeCell ref="D149:E149"/>
    <mergeCell ref="C150:C156"/>
    <mergeCell ref="D150:E150"/>
    <mergeCell ref="D153:E153"/>
    <mergeCell ref="D156:E156"/>
    <mergeCell ref="D141:E141"/>
    <mergeCell ref="D142:E142"/>
    <mergeCell ref="D143:E143"/>
    <mergeCell ref="D144:E144"/>
    <mergeCell ref="D145:E145"/>
    <mergeCell ref="D146:E146"/>
    <mergeCell ref="C134:C136"/>
    <mergeCell ref="D134:E134"/>
    <mergeCell ref="D135:E135"/>
    <mergeCell ref="D136:E136"/>
    <mergeCell ref="D137:E137"/>
    <mergeCell ref="D138:E138"/>
    <mergeCell ref="D117:E117"/>
    <mergeCell ref="D118:E118"/>
    <mergeCell ref="D119:E119"/>
    <mergeCell ref="D120:E120"/>
    <mergeCell ref="D121:E121"/>
    <mergeCell ref="C131:E131"/>
    <mergeCell ref="D132:E132"/>
    <mergeCell ref="D133:E133"/>
    <mergeCell ref="D65:E65"/>
    <mergeCell ref="D66:E66"/>
    <mergeCell ref="D70:E70"/>
    <mergeCell ref="D99:E99"/>
    <mergeCell ref="D100:E100"/>
    <mergeCell ref="D101:E101"/>
    <mergeCell ref="D110:E110"/>
    <mergeCell ref="C115:E115"/>
    <mergeCell ref="D116:E116"/>
    <mergeCell ref="D93:E93"/>
    <mergeCell ref="D94:E94"/>
    <mergeCell ref="D95:E95"/>
    <mergeCell ref="D96:E96"/>
    <mergeCell ref="D97:E97"/>
    <mergeCell ref="D98:E98"/>
    <mergeCell ref="A71:A119"/>
    <mergeCell ref="B71:B119"/>
    <mergeCell ref="D74:E74"/>
    <mergeCell ref="D75:E75"/>
    <mergeCell ref="D76:E76"/>
    <mergeCell ref="D40:E40"/>
    <mergeCell ref="B41:E41"/>
    <mergeCell ref="A42:A70"/>
    <mergeCell ref="C42:E42"/>
    <mergeCell ref="B43:B70"/>
    <mergeCell ref="C43:E43"/>
    <mergeCell ref="D44:E44"/>
    <mergeCell ref="D45:E45"/>
    <mergeCell ref="D46:E46"/>
    <mergeCell ref="D57:E57"/>
    <mergeCell ref="A11:A40"/>
    <mergeCell ref="D77:E77"/>
    <mergeCell ref="D78:E78"/>
    <mergeCell ref="D79:E79"/>
    <mergeCell ref="D86:E86"/>
    <mergeCell ref="D91:E91"/>
    <mergeCell ref="D92:E92"/>
    <mergeCell ref="D58:E58"/>
    <mergeCell ref="D64:E64"/>
    <mergeCell ref="A1:D1"/>
    <mergeCell ref="A2:D2"/>
    <mergeCell ref="A3:D3"/>
    <mergeCell ref="E4:J4"/>
    <mergeCell ref="E5:J5"/>
    <mergeCell ref="A8:B8"/>
    <mergeCell ref="D26:E26"/>
    <mergeCell ref="D34:E34"/>
    <mergeCell ref="B35:B39"/>
    <mergeCell ref="D35:E35"/>
    <mergeCell ref="D36:E36"/>
    <mergeCell ref="D37:E37"/>
    <mergeCell ref="D38:E38"/>
    <mergeCell ref="D39:E39"/>
    <mergeCell ref="B10:E10"/>
    <mergeCell ref="C11:E11"/>
    <mergeCell ref="B12:B25"/>
    <mergeCell ref="D12:E12"/>
    <mergeCell ref="D20:E20"/>
    <mergeCell ref="D21:E21"/>
    <mergeCell ref="C22:C23"/>
    <mergeCell ref="D24:E24"/>
    <mergeCell ref="D25:E2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M16" sqref="M16"/>
    </sheetView>
  </sheetViews>
  <sheetFormatPr defaultRowHeight="12.75" x14ac:dyDescent="0.2"/>
  <cols>
    <col min="1" max="1" width="34" customWidth="1"/>
    <col min="3" max="3" width="11.85546875" customWidth="1"/>
    <col min="5" max="5" width="22.5703125" customWidth="1"/>
    <col min="7" max="7" width="12.7109375" customWidth="1"/>
    <col min="8" max="8" width="9.28515625" customWidth="1"/>
    <col min="11" max="11" width="11.85546875" customWidth="1"/>
  </cols>
  <sheetData>
    <row r="1" spans="1:11" ht="15.75" x14ac:dyDescent="0.25">
      <c r="A1" s="38" t="s">
        <v>226</v>
      </c>
    </row>
    <row r="2" spans="1:11" ht="13.5" thickBot="1" x14ac:dyDescent="0.25">
      <c r="H2" s="1065" t="s">
        <v>79</v>
      </c>
      <c r="I2" s="1065"/>
    </row>
    <row r="3" spans="1:11" x14ac:dyDescent="0.2">
      <c r="A3" s="13" t="s">
        <v>686</v>
      </c>
      <c r="B3" s="344">
        <f>'anexa 1'!G25</f>
        <v>30813.977999999999</v>
      </c>
      <c r="C3" s="344">
        <f>'anexa 1'!H25</f>
        <v>32620.337</v>
      </c>
      <c r="D3" s="15" t="s">
        <v>77</v>
      </c>
      <c r="E3" s="16" t="s">
        <v>78</v>
      </c>
      <c r="F3" s="344">
        <f>'anexa 2'!H97</f>
        <v>30813.977999999999</v>
      </c>
      <c r="G3" s="683">
        <f>'anexa 2'!I97</f>
        <v>32620.337</v>
      </c>
      <c r="H3" s="685">
        <f t="shared" ref="H3:I6" si="0">B3-F3</f>
        <v>0</v>
      </c>
      <c r="I3" s="685">
        <f t="shared" si="0"/>
        <v>0</v>
      </c>
      <c r="J3" s="870" t="s">
        <v>89</v>
      </c>
      <c r="K3" s="1052"/>
    </row>
    <row r="4" spans="1:11" ht="13.5" thickBot="1" x14ac:dyDescent="0.25">
      <c r="A4" s="18" t="s">
        <v>687</v>
      </c>
      <c r="B4" s="687">
        <f>'anexa 1'!G26</f>
        <v>4521.9080000000004</v>
      </c>
      <c r="C4" s="687">
        <f>'anexa 1'!H26</f>
        <v>4865.875</v>
      </c>
      <c r="D4" s="20" t="s">
        <v>77</v>
      </c>
      <c r="E4" s="21" t="s">
        <v>80</v>
      </c>
      <c r="F4" s="684">
        <f>'anexa 2'!H101</f>
        <v>4521.9080000000004</v>
      </c>
      <c r="G4" s="684">
        <f>'anexa 2'!I101</f>
        <v>4865.875</v>
      </c>
      <c r="H4" s="686">
        <f t="shared" si="0"/>
        <v>0</v>
      </c>
      <c r="I4" s="686">
        <f t="shared" si="0"/>
        <v>0</v>
      </c>
      <c r="J4" s="1055"/>
      <c r="K4" s="1056"/>
    </row>
    <row r="5" spans="1:11" x14ac:dyDescent="0.2">
      <c r="A5" s="13" t="s">
        <v>81</v>
      </c>
      <c r="B5" s="14">
        <f>'anexa 3'!F13</f>
        <v>135314.41500000001</v>
      </c>
      <c r="C5" s="14">
        <f>'anexa 3'!G13</f>
        <v>135360.508</v>
      </c>
      <c r="D5" s="15" t="s">
        <v>77</v>
      </c>
      <c r="E5" s="16" t="s">
        <v>82</v>
      </c>
      <c r="F5" s="14">
        <f>'anexa 2'!G12</f>
        <v>135314.41500000001</v>
      </c>
      <c r="G5" s="14">
        <f>'anexa 2'!H12</f>
        <v>135360.508</v>
      </c>
      <c r="H5" s="17">
        <f t="shared" si="0"/>
        <v>0</v>
      </c>
      <c r="I5" s="17">
        <f t="shared" si="0"/>
        <v>0</v>
      </c>
      <c r="J5" s="870" t="s">
        <v>90</v>
      </c>
      <c r="K5" s="1052"/>
    </row>
    <row r="6" spans="1:11" x14ac:dyDescent="0.2">
      <c r="A6" s="23" t="s">
        <v>83</v>
      </c>
      <c r="B6" s="24">
        <f>'anexa 3'!F14</f>
        <v>0</v>
      </c>
      <c r="C6" s="24">
        <f>'anexa 3'!G14</f>
        <v>0</v>
      </c>
      <c r="D6" s="12" t="s">
        <v>77</v>
      </c>
      <c r="E6" s="25" t="s">
        <v>84</v>
      </c>
      <c r="F6" s="24">
        <f>'anexa 2'!G17</f>
        <v>0</v>
      </c>
      <c r="G6" s="24">
        <f>'anexa 2'!H17</f>
        <v>0</v>
      </c>
      <c r="H6" s="26">
        <f t="shared" si="0"/>
        <v>0</v>
      </c>
      <c r="I6" s="26">
        <f t="shared" si="0"/>
        <v>0</v>
      </c>
      <c r="J6" s="1053"/>
      <c r="K6" s="1054"/>
    </row>
    <row r="7" spans="1:11" x14ac:dyDescent="0.2">
      <c r="A7" s="23" t="s">
        <v>85</v>
      </c>
      <c r="B7" s="24">
        <f>'anexa 3'!F15</f>
        <v>1765.8333333333335</v>
      </c>
      <c r="C7" s="24">
        <f>'anexa 3'!G15</f>
        <v>2116.3739999999998</v>
      </c>
      <c r="D7" s="12" t="s">
        <v>77</v>
      </c>
      <c r="E7" s="25" t="s">
        <v>87</v>
      </c>
      <c r="F7" s="24">
        <f>'anexa 2'!G21</f>
        <v>1765.8333333333335</v>
      </c>
      <c r="G7" s="24">
        <f>'anexa 2'!H21</f>
        <v>2116.3739999999998</v>
      </c>
      <c r="H7" s="26">
        <f>B7-F7</f>
        <v>0</v>
      </c>
      <c r="I7" s="26">
        <f>C7-G7</f>
        <v>0</v>
      </c>
      <c r="J7" s="1053"/>
      <c r="K7" s="1054"/>
    </row>
    <row r="8" spans="1:11" ht="13.5" thickBot="1" x14ac:dyDescent="0.25">
      <c r="A8" s="18" t="s">
        <v>86</v>
      </c>
      <c r="B8" s="19">
        <f>'anexa 3'!F16</f>
        <v>2636.7361799999999</v>
      </c>
      <c r="C8" s="19">
        <f>'anexa 3'!G16</f>
        <v>3140.652</v>
      </c>
      <c r="D8" s="20" t="s">
        <v>77</v>
      </c>
      <c r="E8" s="21" t="s">
        <v>88</v>
      </c>
      <c r="F8" s="19">
        <f>'anexa 2'!G23</f>
        <v>2636.7361799999999</v>
      </c>
      <c r="G8" s="19">
        <f>'anexa 2'!H23</f>
        <v>3140.652</v>
      </c>
      <c r="H8" s="22">
        <f>B8-F8</f>
        <v>0</v>
      </c>
      <c r="I8" s="22">
        <f>C8-G8</f>
        <v>0</v>
      </c>
      <c r="J8" s="1055"/>
      <c r="K8" s="1056"/>
    </row>
    <row r="9" spans="1:11" x14ac:dyDescent="0.2">
      <c r="A9" s="13" t="s">
        <v>91</v>
      </c>
      <c r="B9" s="1051">
        <f>'anexa 6'!C13</f>
        <v>0</v>
      </c>
      <c r="C9" s="1051"/>
      <c r="D9" s="15" t="s">
        <v>77</v>
      </c>
      <c r="E9" s="16" t="s">
        <v>92</v>
      </c>
      <c r="F9" s="1051">
        <f>'anexa 1'!G68</f>
        <v>0</v>
      </c>
      <c r="G9" s="1051"/>
      <c r="H9" s="1066">
        <f>B9-F9</f>
        <v>0</v>
      </c>
      <c r="I9" s="1066"/>
      <c r="J9" s="870" t="s">
        <v>98</v>
      </c>
      <c r="K9" s="1052"/>
    </row>
    <row r="10" spans="1:11" x14ac:dyDescent="0.2">
      <c r="A10" s="23" t="s">
        <v>94</v>
      </c>
      <c r="B10" s="1059">
        <f>'anexa 6'!H13</f>
        <v>0</v>
      </c>
      <c r="C10" s="1059"/>
      <c r="D10" s="12" t="s">
        <v>77</v>
      </c>
      <c r="E10" s="25" t="s">
        <v>93</v>
      </c>
      <c r="F10" s="1059">
        <f>'anexa 1'!H68</f>
        <v>0</v>
      </c>
      <c r="G10" s="1059"/>
      <c r="H10" s="1063">
        <f>B10-F10</f>
        <v>0</v>
      </c>
      <c r="I10" s="1063"/>
      <c r="J10" s="1053"/>
      <c r="K10" s="1054"/>
    </row>
    <row r="11" spans="1:11" x14ac:dyDescent="0.2">
      <c r="A11" s="23" t="s">
        <v>95</v>
      </c>
      <c r="B11" s="1059">
        <f>'anexa 6'!J13</f>
        <v>0</v>
      </c>
      <c r="C11" s="1059"/>
      <c r="D11" s="12" t="s">
        <v>77</v>
      </c>
      <c r="E11" s="25" t="s">
        <v>96</v>
      </c>
      <c r="F11" s="1059">
        <f>'anexa 1'!J68</f>
        <v>0</v>
      </c>
      <c r="G11" s="1059"/>
      <c r="H11" s="1063">
        <f>B11-F11</f>
        <v>0</v>
      </c>
      <c r="I11" s="1063"/>
      <c r="J11" s="1053"/>
      <c r="K11" s="1054"/>
    </row>
    <row r="12" spans="1:11" ht="13.5" thickBot="1" x14ac:dyDescent="0.25">
      <c r="A12" s="18" t="s">
        <v>216</v>
      </c>
      <c r="B12" s="1061">
        <f>'anexa 6'!L13</f>
        <v>0</v>
      </c>
      <c r="C12" s="1061"/>
      <c r="D12" s="20" t="s">
        <v>77</v>
      </c>
      <c r="E12" s="21" t="s">
        <v>97</v>
      </c>
      <c r="F12" s="1061">
        <f>'anexa 1'!K68</f>
        <v>0</v>
      </c>
      <c r="G12" s="1061"/>
      <c r="H12" s="1064">
        <f>B12-F12</f>
        <v>0</v>
      </c>
      <c r="I12" s="1064"/>
      <c r="J12" s="1055"/>
      <c r="K12" s="1056"/>
    </row>
    <row r="13" spans="1:11" x14ac:dyDescent="0.2">
      <c r="A13" s="29"/>
      <c r="B13" s="14"/>
      <c r="C13" s="14"/>
      <c r="D13" s="14"/>
      <c r="E13" s="14"/>
      <c r="F13" s="14"/>
      <c r="G13" s="14"/>
      <c r="H13" s="14"/>
      <c r="I13" s="14"/>
      <c r="J13" s="1057" t="s">
        <v>224</v>
      </c>
      <c r="K13" s="1058"/>
    </row>
    <row r="14" spans="1:11" x14ac:dyDescent="0.2">
      <c r="A14" s="30"/>
      <c r="B14" s="24"/>
      <c r="C14" s="24"/>
      <c r="D14" s="24"/>
      <c r="E14" s="24"/>
      <c r="F14" s="24"/>
      <c r="G14" s="24"/>
      <c r="H14" s="24"/>
      <c r="I14" s="24"/>
      <c r="J14" s="1059"/>
      <c r="K14" s="1060"/>
    </row>
    <row r="15" spans="1:11" x14ac:dyDescent="0.2">
      <c r="A15" s="30"/>
      <c r="B15" s="24"/>
      <c r="C15" s="24"/>
      <c r="D15" s="24"/>
      <c r="E15" s="24"/>
      <c r="F15" s="24"/>
      <c r="G15" s="24"/>
      <c r="H15" s="24"/>
      <c r="I15" s="24"/>
      <c r="J15" s="1059"/>
      <c r="K15" s="1060"/>
    </row>
    <row r="16" spans="1:11" ht="13.5" thickBot="1" x14ac:dyDescent="0.25">
      <c r="A16" s="31"/>
      <c r="B16" s="19"/>
      <c r="C16" s="19"/>
      <c r="D16" s="19"/>
      <c r="E16" s="19"/>
      <c r="F16" s="19"/>
      <c r="G16" s="19"/>
      <c r="H16" s="19"/>
      <c r="I16" s="19"/>
      <c r="J16" s="1061"/>
      <c r="K16" s="1062"/>
    </row>
    <row r="17" spans="1:11" x14ac:dyDescent="0.2">
      <c r="A17" s="29"/>
      <c r="B17" s="14"/>
      <c r="C17" s="14"/>
      <c r="D17" s="14"/>
      <c r="E17" s="14"/>
      <c r="F17" s="14"/>
      <c r="G17" s="14"/>
      <c r="H17" s="14"/>
      <c r="I17" s="14"/>
      <c r="J17" s="1057" t="s">
        <v>225</v>
      </c>
      <c r="K17" s="1058"/>
    </row>
    <row r="18" spans="1:11" x14ac:dyDescent="0.2">
      <c r="A18" s="30"/>
      <c r="B18" s="24"/>
      <c r="C18" s="24"/>
      <c r="D18" s="24"/>
      <c r="E18" s="24"/>
      <c r="F18" s="24"/>
      <c r="G18" s="24"/>
      <c r="H18" s="24"/>
      <c r="I18" s="24"/>
      <c r="J18" s="1059"/>
      <c r="K18" s="1060"/>
    </row>
    <row r="19" spans="1:11" x14ac:dyDescent="0.2">
      <c r="A19" s="30"/>
      <c r="B19" s="24"/>
      <c r="C19" s="24"/>
      <c r="D19" s="24"/>
      <c r="E19" s="24"/>
      <c r="F19" s="24"/>
      <c r="G19" s="24"/>
      <c r="H19" s="24"/>
      <c r="I19" s="24"/>
      <c r="J19" s="1059"/>
      <c r="K19" s="1060"/>
    </row>
    <row r="20" spans="1:11" ht="13.5" thickBot="1" x14ac:dyDescent="0.25">
      <c r="A20" s="31"/>
      <c r="B20" s="19"/>
      <c r="C20" s="19"/>
      <c r="D20" s="19"/>
      <c r="E20" s="19"/>
      <c r="F20" s="19"/>
      <c r="G20" s="19"/>
      <c r="H20" s="19"/>
      <c r="I20" s="19"/>
      <c r="J20" s="1061"/>
      <c r="K20" s="1062"/>
    </row>
    <row r="23" spans="1:11" s="32" customFormat="1" ht="24" hidden="1" x14ac:dyDescent="0.2">
      <c r="A23" s="33" t="s">
        <v>217</v>
      </c>
      <c r="B23" s="1049">
        <f>'anexa 8'!D23+'anexa 8'!F17</f>
        <v>0</v>
      </c>
      <c r="C23" s="1049"/>
      <c r="D23" s="34" t="s">
        <v>77</v>
      </c>
      <c r="E23" s="35" t="s">
        <v>218</v>
      </c>
      <c r="F23" s="1049">
        <f>'anexa 1'!H34</f>
        <v>11909.218905120011</v>
      </c>
      <c r="G23" s="1049"/>
      <c r="H23" s="1050">
        <f>B23-F23</f>
        <v>-11909.218905120011</v>
      </c>
      <c r="I23" s="1050"/>
      <c r="J23" s="877" t="s">
        <v>222</v>
      </c>
      <c r="K23" s="1049"/>
    </row>
    <row r="24" spans="1:11" ht="41.25" hidden="1" customHeight="1" x14ac:dyDescent="0.2">
      <c r="A24" s="33" t="s">
        <v>219</v>
      </c>
      <c r="B24" s="1049">
        <f>'anexa 8'!E23+'anexa 8'!G17</f>
        <v>0</v>
      </c>
      <c r="C24" s="1049"/>
      <c r="D24" s="34" t="s">
        <v>77</v>
      </c>
      <c r="E24" s="35" t="s">
        <v>220</v>
      </c>
      <c r="F24" s="1049">
        <f>'anexa 1'!H68</f>
        <v>0</v>
      </c>
      <c r="G24" s="1049"/>
      <c r="H24" s="1050">
        <f>B24-F24</f>
        <v>0</v>
      </c>
      <c r="I24" s="1050"/>
      <c r="J24" s="1049"/>
      <c r="K24" s="1049"/>
    </row>
    <row r="25" spans="1:11" s="37" customFormat="1" ht="52.5" hidden="1" customHeight="1" x14ac:dyDescent="0.2">
      <c r="A25" s="36" t="s">
        <v>221</v>
      </c>
      <c r="B25" s="1049">
        <f>'anexa 8'!D23+'anexa 8'!F23</f>
        <v>0</v>
      </c>
      <c r="C25" s="1049"/>
      <c r="D25" s="34" t="s">
        <v>77</v>
      </c>
      <c r="E25" s="34" t="s">
        <v>218</v>
      </c>
      <c r="F25" s="1049">
        <f>'anexa 1'!H34</f>
        <v>11909.218905120011</v>
      </c>
      <c r="G25" s="1049"/>
      <c r="H25" s="1050">
        <f>B25-F25</f>
        <v>-11909.218905120011</v>
      </c>
      <c r="I25" s="1050"/>
      <c r="J25" s="1049"/>
      <c r="K25" s="1049"/>
    </row>
    <row r="26" spans="1:11" ht="51" hidden="1" customHeight="1" x14ac:dyDescent="0.2">
      <c r="A26" s="36" t="s">
        <v>223</v>
      </c>
      <c r="B26" s="1049">
        <f>'anexa 8'!E23+'anexa 8'!G23</f>
        <v>0</v>
      </c>
      <c r="C26" s="1049"/>
      <c r="D26" s="34" t="s">
        <v>77</v>
      </c>
      <c r="E26" s="34" t="s">
        <v>220</v>
      </c>
      <c r="F26" s="1049">
        <f>'anexa 1'!H68</f>
        <v>0</v>
      </c>
      <c r="G26" s="1049"/>
      <c r="H26" s="1050">
        <f>B26-F26</f>
        <v>0</v>
      </c>
      <c r="I26" s="1050"/>
      <c r="J26" s="1049"/>
      <c r="K26" s="1049"/>
    </row>
    <row r="27" spans="1:11" hidden="1" x14ac:dyDescent="0.2"/>
    <row r="28" spans="1:11" hidden="1" x14ac:dyDescent="0.2"/>
    <row r="29" spans="1:11" hidden="1" x14ac:dyDescent="0.2"/>
  </sheetData>
  <mergeCells count="31">
    <mergeCell ref="H2:I2"/>
    <mergeCell ref="J3:K4"/>
    <mergeCell ref="J5:K8"/>
    <mergeCell ref="H9:I9"/>
    <mergeCell ref="F9:G9"/>
    <mergeCell ref="B9:C9"/>
    <mergeCell ref="J9:K12"/>
    <mergeCell ref="J13:K16"/>
    <mergeCell ref="J17:K20"/>
    <mergeCell ref="B23:C23"/>
    <mergeCell ref="F23:G23"/>
    <mergeCell ref="H23:I23"/>
    <mergeCell ref="B10:C10"/>
    <mergeCell ref="F10:G10"/>
    <mergeCell ref="H10:I10"/>
    <mergeCell ref="B11:C11"/>
    <mergeCell ref="B12:C12"/>
    <mergeCell ref="F11:G11"/>
    <mergeCell ref="H11:I11"/>
    <mergeCell ref="H12:I12"/>
    <mergeCell ref="F12:G12"/>
    <mergeCell ref="J23:K26"/>
    <mergeCell ref="B26:C26"/>
    <mergeCell ref="F26:G26"/>
    <mergeCell ref="H26:I26"/>
    <mergeCell ref="B24:C24"/>
    <mergeCell ref="F24:G24"/>
    <mergeCell ref="H24:I24"/>
    <mergeCell ref="B25:C25"/>
    <mergeCell ref="F25:G25"/>
    <mergeCell ref="H25:I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8"/>
  <sheetViews>
    <sheetView workbookViewId="0">
      <selection activeCell="U14" sqref="U14"/>
    </sheetView>
  </sheetViews>
  <sheetFormatPr defaultRowHeight="15" x14ac:dyDescent="0.25"/>
  <cols>
    <col min="1" max="1" width="5.42578125" style="784" customWidth="1"/>
    <col min="2" max="2" width="5.85546875" style="784" customWidth="1"/>
    <col min="3" max="3" width="6" style="784" customWidth="1"/>
    <col min="4" max="4" width="5.85546875" style="784" customWidth="1"/>
    <col min="5" max="5" width="37.5703125" style="784" customWidth="1"/>
    <col min="6" max="6" width="4.7109375" style="784" customWidth="1"/>
    <col min="7" max="7" width="12.7109375" style="784" customWidth="1"/>
    <col min="8" max="8" width="13" style="784" hidden="1" customWidth="1"/>
    <col min="9" max="10" width="12.85546875" style="784" hidden="1" customWidth="1"/>
    <col min="11" max="11" width="11.140625" style="787" hidden="1" customWidth="1"/>
    <col min="12" max="12" width="13.140625" style="787" hidden="1" customWidth="1"/>
    <col min="13" max="13" width="0.85546875" style="787" hidden="1" customWidth="1"/>
    <col min="14" max="14" width="12.85546875" style="787" customWidth="1"/>
    <col min="15" max="15" width="9.28515625" style="787" customWidth="1"/>
    <col min="16" max="16" width="12" style="787" customWidth="1"/>
    <col min="17" max="16384" width="9.140625" style="784"/>
  </cols>
  <sheetData>
    <row r="1" spans="1:16" x14ac:dyDescent="0.25">
      <c r="A1" s="845" t="s">
        <v>0</v>
      </c>
      <c r="B1" s="845"/>
      <c r="C1" s="845"/>
      <c r="D1" s="845"/>
      <c r="E1" s="783"/>
    </row>
    <row r="2" spans="1:16" x14ac:dyDescent="0.25">
      <c r="A2" s="845" t="s">
        <v>1</v>
      </c>
      <c r="B2" s="845"/>
      <c r="C2" s="845"/>
      <c r="D2" s="845"/>
      <c r="E2" s="783"/>
      <c r="I2" s="788" t="s">
        <v>11</v>
      </c>
    </row>
    <row r="3" spans="1:16" x14ac:dyDescent="0.25">
      <c r="A3" s="845" t="s">
        <v>2</v>
      </c>
      <c r="B3" s="845"/>
      <c r="C3" s="845"/>
      <c r="D3" s="845"/>
      <c r="E3" s="783"/>
    </row>
    <row r="4" spans="1:16" x14ac:dyDescent="0.25">
      <c r="A4" s="783"/>
      <c r="B4" s="783"/>
      <c r="C4" s="783"/>
      <c r="E4" s="783" t="s">
        <v>698</v>
      </c>
      <c r="F4" s="785"/>
      <c r="G4" s="785"/>
      <c r="H4" s="785"/>
      <c r="I4" s="785"/>
      <c r="J4" s="785"/>
      <c r="K4" s="787">
        <v>1000</v>
      </c>
    </row>
    <row r="5" spans="1:16" x14ac:dyDescent="0.25">
      <c r="A5" s="783"/>
      <c r="B5" s="783"/>
      <c r="C5" s="783"/>
      <c r="D5" s="785"/>
      <c r="E5" s="786" t="s">
        <v>699</v>
      </c>
      <c r="F5" s="785"/>
      <c r="G5" s="785"/>
      <c r="H5" s="785"/>
      <c r="I5" s="785"/>
    </row>
    <row r="6" spans="1:16" x14ac:dyDescent="0.25">
      <c r="A6" s="783"/>
      <c r="B6" s="783"/>
      <c r="C6" s="783"/>
      <c r="D6" s="785"/>
      <c r="E6" s="785"/>
      <c r="F6" s="785"/>
      <c r="G6" s="785"/>
      <c r="H6" s="785"/>
      <c r="I6" s="785"/>
    </row>
    <row r="7" spans="1:16" x14ac:dyDescent="0.25">
      <c r="A7" s="783"/>
      <c r="B7" s="783"/>
      <c r="C7" s="783"/>
      <c r="D7" s="785"/>
      <c r="E7" s="783"/>
      <c r="F7" s="785"/>
      <c r="G7" s="785"/>
      <c r="H7" s="785"/>
      <c r="I7" s="785"/>
      <c r="O7" s="787" t="s">
        <v>697</v>
      </c>
    </row>
    <row r="8" spans="1:16" ht="93.75" customHeight="1" x14ac:dyDescent="0.25">
      <c r="A8" s="846" t="s">
        <v>308</v>
      </c>
      <c r="B8" s="846"/>
      <c r="C8" s="789"/>
      <c r="D8" s="789"/>
      <c r="E8" s="790" t="s">
        <v>15</v>
      </c>
      <c r="F8" s="789" t="s">
        <v>309</v>
      </c>
      <c r="G8" s="791" t="s">
        <v>693</v>
      </c>
      <c r="H8" s="789" t="s">
        <v>310</v>
      </c>
      <c r="I8" s="789" t="s">
        <v>311</v>
      </c>
      <c r="J8" s="789" t="s">
        <v>312</v>
      </c>
      <c r="K8" s="789" t="s">
        <v>313</v>
      </c>
      <c r="L8" s="791" t="s">
        <v>658</v>
      </c>
      <c r="M8" s="791" t="s">
        <v>681</v>
      </c>
      <c r="N8" s="791" t="s">
        <v>692</v>
      </c>
      <c r="O8" s="791" t="s">
        <v>689</v>
      </c>
      <c r="P8" s="792"/>
    </row>
    <row r="9" spans="1:16" x14ac:dyDescent="0.25">
      <c r="A9" s="789" t="s">
        <v>30</v>
      </c>
      <c r="B9" s="789"/>
      <c r="C9" s="789"/>
      <c r="D9" s="789"/>
      <c r="E9" s="793" t="s">
        <v>4</v>
      </c>
      <c r="F9" s="789" t="s">
        <v>314</v>
      </c>
      <c r="G9" s="789" t="s">
        <v>21</v>
      </c>
      <c r="H9" s="789" t="s">
        <v>17</v>
      </c>
      <c r="I9" s="789" t="s">
        <v>18</v>
      </c>
      <c r="J9" s="789" t="s">
        <v>24</v>
      </c>
      <c r="K9" s="789" t="s">
        <v>19</v>
      </c>
      <c r="L9" s="794">
        <v>7</v>
      </c>
      <c r="M9" s="794">
        <v>8</v>
      </c>
      <c r="N9" s="789" t="s">
        <v>21</v>
      </c>
      <c r="O9" s="795"/>
    </row>
    <row r="10" spans="1:16" x14ac:dyDescent="0.25">
      <c r="A10" s="790" t="s">
        <v>215</v>
      </c>
      <c r="B10" s="847" t="s">
        <v>462</v>
      </c>
      <c r="C10" s="847"/>
      <c r="D10" s="847"/>
      <c r="E10" s="847"/>
      <c r="F10" s="790" t="s">
        <v>4</v>
      </c>
      <c r="G10" s="796">
        <f>a.4.Centralizat!H10</f>
        <v>138839553.764</v>
      </c>
      <c r="H10" s="796">
        <f>a.4.Centralizat!I10</f>
        <v>32662687.360999998</v>
      </c>
      <c r="I10" s="796">
        <f>a.4.Centralizat!J10</f>
        <v>35347244.901000001</v>
      </c>
      <c r="J10" s="796">
        <f>a.4.Centralizat!K10</f>
        <v>35642488.180999994</v>
      </c>
      <c r="K10" s="796">
        <f>a.4.Centralizat!L10</f>
        <v>35187133.320999995</v>
      </c>
      <c r="L10" s="796">
        <f>a.4.Centralizat!O10</f>
        <v>142405579</v>
      </c>
      <c r="M10" s="796">
        <v>141302168.82333335</v>
      </c>
      <c r="N10" s="796">
        <v>138839553.764</v>
      </c>
      <c r="O10" s="797">
        <f>G10-N10</f>
        <v>0</v>
      </c>
      <c r="P10" s="798"/>
    </row>
    <row r="11" spans="1:16" ht="19.5" customHeight="1" x14ac:dyDescent="0.25">
      <c r="A11" s="846"/>
      <c r="B11" s="789" t="s">
        <v>4</v>
      </c>
      <c r="C11" s="846" t="s">
        <v>113</v>
      </c>
      <c r="D11" s="846"/>
      <c r="E11" s="846"/>
      <c r="F11" s="789">
        <f>F10+1</f>
        <v>2</v>
      </c>
      <c r="G11" s="799">
        <f>a.4.Centralizat!H11</f>
        <v>137889496.09</v>
      </c>
      <c r="H11" s="799">
        <f>a.4.Centralizat!I11</f>
        <v>32362674.555</v>
      </c>
      <c r="I11" s="799">
        <f>a.4.Centralizat!J11</f>
        <v>35097230.835000001</v>
      </c>
      <c r="J11" s="799">
        <f>a.4.Centralizat!K11</f>
        <v>35442472.554999992</v>
      </c>
      <c r="K11" s="799">
        <f>a.4.Centralizat!L11</f>
        <v>34987118.144999996</v>
      </c>
      <c r="L11" s="799">
        <f>a.4.Centralizat!O11</f>
        <v>140617534</v>
      </c>
      <c r="M11" s="799">
        <v>139716984.51333335</v>
      </c>
      <c r="N11" s="799">
        <v>137889496.09</v>
      </c>
      <c r="O11" s="797">
        <f t="shared" ref="O11:O74" si="0">G11-N11</f>
        <v>0</v>
      </c>
      <c r="P11" s="798"/>
    </row>
    <row r="12" spans="1:16" x14ac:dyDescent="0.25">
      <c r="A12" s="846"/>
      <c r="B12" s="846"/>
      <c r="C12" s="789" t="s">
        <v>27</v>
      </c>
      <c r="D12" s="848" t="s">
        <v>315</v>
      </c>
      <c r="E12" s="848"/>
      <c r="F12" s="789">
        <f t="shared" ref="F12:F75" si="1">F11+1</f>
        <v>3</v>
      </c>
      <c r="G12" s="799">
        <f>a.4.Centralizat!H12</f>
        <v>134459088.558</v>
      </c>
      <c r="H12" s="799">
        <f>a.4.Centralizat!I12</f>
        <v>31857808.556999996</v>
      </c>
      <c r="I12" s="799">
        <f>a.4.Centralizat!J12</f>
        <v>34202287.296999998</v>
      </c>
      <c r="J12" s="799">
        <f>a.4.Centralizat!K12</f>
        <v>34519212.156999998</v>
      </c>
      <c r="K12" s="799">
        <f>a.4.Centralizat!L12</f>
        <v>33879780.546999998</v>
      </c>
      <c r="L12" s="799">
        <f>a.4.Centralizat!O12</f>
        <v>135360508</v>
      </c>
      <c r="M12" s="799">
        <v>135314415</v>
      </c>
      <c r="N12" s="799">
        <v>134459088.558</v>
      </c>
      <c r="O12" s="797">
        <f t="shared" si="0"/>
        <v>0</v>
      </c>
      <c r="P12" s="798"/>
    </row>
    <row r="13" spans="1:16" x14ac:dyDescent="0.25">
      <c r="A13" s="846"/>
      <c r="B13" s="846"/>
      <c r="C13" s="789"/>
      <c r="D13" s="789" t="s">
        <v>237</v>
      </c>
      <c r="E13" s="793" t="s">
        <v>316</v>
      </c>
      <c r="F13" s="789">
        <f t="shared" si="1"/>
        <v>4</v>
      </c>
      <c r="G13" s="799">
        <f>a.4.Centralizat!H13</f>
        <v>0</v>
      </c>
      <c r="H13" s="799">
        <f>a.4.Centralizat!I13</f>
        <v>0</v>
      </c>
      <c r="I13" s="799">
        <f>a.4.Centralizat!J13</f>
        <v>0</v>
      </c>
      <c r="J13" s="799">
        <f>a.4.Centralizat!K13</f>
        <v>0</v>
      </c>
      <c r="K13" s="799">
        <f>a.4.Centralizat!L13</f>
        <v>0</v>
      </c>
      <c r="L13" s="799">
        <f>a.4.Centralizat!O13</f>
        <v>0</v>
      </c>
      <c r="M13" s="799">
        <v>0</v>
      </c>
      <c r="N13" s="799">
        <v>0</v>
      </c>
      <c r="O13" s="797">
        <f t="shared" si="0"/>
        <v>0</v>
      </c>
      <c r="P13" s="798"/>
    </row>
    <row r="14" spans="1:16" x14ac:dyDescent="0.25">
      <c r="A14" s="846"/>
      <c r="B14" s="846"/>
      <c r="C14" s="789"/>
      <c r="D14" s="789" t="s">
        <v>66</v>
      </c>
      <c r="E14" s="793" t="s">
        <v>317</v>
      </c>
      <c r="F14" s="789">
        <f t="shared" si="1"/>
        <v>5</v>
      </c>
      <c r="G14" s="799">
        <f>a.4.Centralizat!H14</f>
        <v>134155599.148</v>
      </c>
      <c r="H14" s="799">
        <f>a.4.Centralizat!I14</f>
        <v>31794722.261999998</v>
      </c>
      <c r="I14" s="799">
        <f>a.4.Centralizat!J14</f>
        <v>34119184.692000002</v>
      </c>
      <c r="J14" s="799">
        <f>a.4.Centralizat!K14</f>
        <v>34435523.082000002</v>
      </c>
      <c r="K14" s="799">
        <f>a.4.Centralizat!L14</f>
        <v>33806169.112000003</v>
      </c>
      <c r="L14" s="799">
        <f>a.4.Centralizat!O14</f>
        <v>134955967</v>
      </c>
      <c r="M14" s="799">
        <v>135015554</v>
      </c>
      <c r="N14" s="799">
        <v>134155599.148</v>
      </c>
      <c r="O14" s="797">
        <f t="shared" si="0"/>
        <v>0</v>
      </c>
      <c r="P14" s="798"/>
    </row>
    <row r="15" spans="1:16" x14ac:dyDescent="0.25">
      <c r="A15" s="846"/>
      <c r="B15" s="846"/>
      <c r="C15" s="789"/>
      <c r="D15" s="789" t="s">
        <v>318</v>
      </c>
      <c r="E15" s="793" t="s">
        <v>319</v>
      </c>
      <c r="F15" s="789">
        <f t="shared" si="1"/>
        <v>6</v>
      </c>
      <c r="G15" s="799">
        <f>a.4.Centralizat!H18</f>
        <v>75980.932000000001</v>
      </c>
      <c r="H15" s="799">
        <f>a.4.Centralizat!I18</f>
        <v>19014.983</v>
      </c>
      <c r="I15" s="799">
        <f>a.4.Centralizat!J18</f>
        <v>18984.983</v>
      </c>
      <c r="J15" s="799">
        <f>a.4.Centralizat!K18</f>
        <v>18985.983</v>
      </c>
      <c r="K15" s="799">
        <f>a.4.Centralizat!L18</f>
        <v>18994.983</v>
      </c>
      <c r="L15" s="799">
        <f>a.4.Centralizat!O18</f>
        <v>83703</v>
      </c>
      <c r="M15" s="799">
        <v>82014</v>
      </c>
      <c r="N15" s="799">
        <v>75980.932000000001</v>
      </c>
      <c r="O15" s="797">
        <f t="shared" si="0"/>
        <v>0</v>
      </c>
      <c r="P15" s="798"/>
    </row>
    <row r="16" spans="1:16" x14ac:dyDescent="0.25">
      <c r="A16" s="846"/>
      <c r="B16" s="846"/>
      <c r="C16" s="789"/>
      <c r="D16" s="789" t="s">
        <v>320</v>
      </c>
      <c r="E16" s="793" t="s">
        <v>321</v>
      </c>
      <c r="F16" s="789">
        <f t="shared" si="1"/>
        <v>7</v>
      </c>
      <c r="G16" s="799">
        <f>a.4.Centralizat!H19</f>
        <v>227508.478</v>
      </c>
      <c r="H16" s="799">
        <f>a.4.Centralizat!I19</f>
        <v>44071.311999999998</v>
      </c>
      <c r="I16" s="799">
        <f>a.4.Centralizat!J19</f>
        <v>64117.621999999996</v>
      </c>
      <c r="J16" s="799">
        <f>a.4.Centralizat!K19</f>
        <v>64703.091999999997</v>
      </c>
      <c r="K16" s="799">
        <f>a.4.Centralizat!L19</f>
        <v>54616.451999999997</v>
      </c>
      <c r="L16" s="799">
        <f>a.4.Centralizat!O19</f>
        <v>320838</v>
      </c>
      <c r="M16" s="799">
        <v>216847</v>
      </c>
      <c r="N16" s="799">
        <v>227508.478</v>
      </c>
      <c r="O16" s="797">
        <f t="shared" si="0"/>
        <v>0</v>
      </c>
      <c r="P16" s="798"/>
    </row>
    <row r="17" spans="1:16" x14ac:dyDescent="0.25">
      <c r="A17" s="846"/>
      <c r="B17" s="846"/>
      <c r="C17" s="789" t="s">
        <v>38</v>
      </c>
      <c r="D17" s="849" t="s">
        <v>322</v>
      </c>
      <c r="E17" s="849"/>
      <c r="F17" s="789">
        <f t="shared" si="1"/>
        <v>8</v>
      </c>
      <c r="G17" s="799">
        <f>a.4.Centralizat!H20</f>
        <v>0</v>
      </c>
      <c r="H17" s="799">
        <f>a.4.Centralizat!I20</f>
        <v>0</v>
      </c>
      <c r="I17" s="799">
        <f>a.4.Centralizat!J20</f>
        <v>0</v>
      </c>
      <c r="J17" s="799">
        <f>a.4.Centralizat!K20</f>
        <v>0</v>
      </c>
      <c r="K17" s="799">
        <f>a.4.Centralizat!L20</f>
        <v>0</v>
      </c>
      <c r="L17" s="799">
        <f>a.4.Centralizat!O20</f>
        <v>0</v>
      </c>
      <c r="M17" s="799"/>
      <c r="N17" s="799">
        <v>0</v>
      </c>
      <c r="O17" s="797">
        <f t="shared" si="0"/>
        <v>0</v>
      </c>
      <c r="P17" s="798"/>
    </row>
    <row r="18" spans="1:16" ht="21.75" customHeight="1" x14ac:dyDescent="0.25">
      <c r="A18" s="846"/>
      <c r="B18" s="846"/>
      <c r="C18" s="789" t="s">
        <v>40</v>
      </c>
      <c r="D18" s="848" t="s">
        <v>323</v>
      </c>
      <c r="E18" s="848"/>
      <c r="F18" s="789">
        <f t="shared" si="1"/>
        <v>9</v>
      </c>
      <c r="G18" s="799">
        <f>a.4.Centralizat!H21</f>
        <v>0</v>
      </c>
      <c r="H18" s="799">
        <f>a.4.Centralizat!I21</f>
        <v>0</v>
      </c>
      <c r="I18" s="799">
        <f>a.4.Centralizat!J21</f>
        <v>0</v>
      </c>
      <c r="J18" s="799">
        <f>a.4.Centralizat!K21</f>
        <v>0</v>
      </c>
      <c r="K18" s="799">
        <f>a.4.Centralizat!L21</f>
        <v>0</v>
      </c>
      <c r="L18" s="799">
        <f>a.4.Centralizat!O21</f>
        <v>0</v>
      </c>
      <c r="M18" s="799">
        <v>0</v>
      </c>
      <c r="N18" s="799">
        <v>0</v>
      </c>
      <c r="O18" s="797">
        <f t="shared" si="0"/>
        <v>0</v>
      </c>
      <c r="P18" s="798"/>
    </row>
    <row r="19" spans="1:16" x14ac:dyDescent="0.25">
      <c r="A19" s="846"/>
      <c r="B19" s="846"/>
      <c r="C19" s="846"/>
      <c r="D19" s="789" t="s">
        <v>324</v>
      </c>
      <c r="E19" s="793" t="s">
        <v>325</v>
      </c>
      <c r="F19" s="789">
        <f t="shared" si="1"/>
        <v>10</v>
      </c>
      <c r="G19" s="799">
        <f>a.4.Centralizat!H22</f>
        <v>0</v>
      </c>
      <c r="H19" s="799">
        <f>a.4.Centralizat!I22</f>
        <v>0</v>
      </c>
      <c r="I19" s="799">
        <f>a.4.Centralizat!J22</f>
        <v>0</v>
      </c>
      <c r="J19" s="799">
        <f>a.4.Centralizat!K22</f>
        <v>0</v>
      </c>
      <c r="K19" s="799">
        <f>a.4.Centralizat!L22</f>
        <v>0</v>
      </c>
      <c r="L19" s="799">
        <f>a.4.Centralizat!O22</f>
        <v>0</v>
      </c>
      <c r="M19" s="799">
        <v>0</v>
      </c>
      <c r="N19" s="799">
        <v>0</v>
      </c>
      <c r="O19" s="797">
        <f t="shared" si="0"/>
        <v>0</v>
      </c>
      <c r="P19" s="798"/>
    </row>
    <row r="20" spans="1:16" x14ac:dyDescent="0.25">
      <c r="A20" s="846"/>
      <c r="B20" s="846"/>
      <c r="C20" s="846"/>
      <c r="D20" s="789" t="s">
        <v>67</v>
      </c>
      <c r="E20" s="793" t="s">
        <v>32</v>
      </c>
      <c r="F20" s="789">
        <f t="shared" si="1"/>
        <v>11</v>
      </c>
      <c r="G20" s="800">
        <f>a.4.Centralizat!H23</f>
        <v>0</v>
      </c>
      <c r="H20" s="800">
        <f>a.4.Centralizat!I23</f>
        <v>0</v>
      </c>
      <c r="I20" s="800">
        <f>a.4.Centralizat!J23</f>
        <v>0</v>
      </c>
      <c r="J20" s="800">
        <f>a.4.Centralizat!K23</f>
        <v>0</v>
      </c>
      <c r="K20" s="800">
        <f>a.4.Centralizat!L23</f>
        <v>0</v>
      </c>
      <c r="L20" s="800">
        <f>a.4.Centralizat!O23</f>
        <v>0</v>
      </c>
      <c r="M20" s="800">
        <v>0</v>
      </c>
      <c r="N20" s="800">
        <v>0</v>
      </c>
      <c r="O20" s="797">
        <f t="shared" si="0"/>
        <v>0</v>
      </c>
      <c r="P20" s="798"/>
    </row>
    <row r="21" spans="1:16" x14ac:dyDescent="0.25">
      <c r="A21" s="846"/>
      <c r="B21" s="846"/>
      <c r="C21" s="789" t="s">
        <v>42</v>
      </c>
      <c r="D21" s="849" t="s">
        <v>326</v>
      </c>
      <c r="E21" s="849"/>
      <c r="F21" s="789">
        <f t="shared" si="1"/>
        <v>12</v>
      </c>
      <c r="G21" s="801">
        <f>a.4.Centralizat!H24</f>
        <v>2103800</v>
      </c>
      <c r="H21" s="801">
        <f>a.4.Centralizat!I24</f>
        <v>183400</v>
      </c>
      <c r="I21" s="801">
        <f>a.4.Centralizat!J24</f>
        <v>554400</v>
      </c>
      <c r="J21" s="801">
        <f>a.4.Centralizat!K24</f>
        <v>581500</v>
      </c>
      <c r="K21" s="801">
        <f>a.4.Centralizat!L24</f>
        <v>784500</v>
      </c>
      <c r="L21" s="801">
        <f>a.4.Centralizat!O24</f>
        <v>2116374</v>
      </c>
      <c r="M21" s="801">
        <v>1765833.3333333335</v>
      </c>
      <c r="N21" s="801">
        <v>2103800</v>
      </c>
      <c r="O21" s="797">
        <f t="shared" si="0"/>
        <v>0</v>
      </c>
      <c r="P21" s="798"/>
    </row>
    <row r="22" spans="1:16" x14ac:dyDescent="0.25">
      <c r="A22" s="846"/>
      <c r="B22" s="846"/>
      <c r="C22" s="789" t="s">
        <v>28</v>
      </c>
      <c r="D22" s="848" t="s">
        <v>327</v>
      </c>
      <c r="E22" s="848"/>
      <c r="F22" s="789">
        <f t="shared" si="1"/>
        <v>13</v>
      </c>
      <c r="G22" s="801">
        <f>a.4.Centralizat!H25</f>
        <v>0</v>
      </c>
      <c r="H22" s="801">
        <f>a.4.Centralizat!I25</f>
        <v>0</v>
      </c>
      <c r="I22" s="801">
        <f>a.4.Centralizat!J25</f>
        <v>0</v>
      </c>
      <c r="J22" s="801">
        <f>a.4.Centralizat!K25</f>
        <v>0</v>
      </c>
      <c r="K22" s="801">
        <f>a.4.Centralizat!L25</f>
        <v>0</v>
      </c>
      <c r="L22" s="801">
        <f>a.4.Centralizat!O25</f>
        <v>0</v>
      </c>
      <c r="M22" s="801"/>
      <c r="N22" s="801">
        <v>0</v>
      </c>
      <c r="O22" s="797">
        <f t="shared" si="0"/>
        <v>0</v>
      </c>
      <c r="P22" s="798"/>
    </row>
    <row r="23" spans="1:16" x14ac:dyDescent="0.25">
      <c r="A23" s="846"/>
      <c r="B23" s="789"/>
      <c r="C23" s="789" t="s">
        <v>34</v>
      </c>
      <c r="D23" s="848" t="s">
        <v>328</v>
      </c>
      <c r="E23" s="848"/>
      <c r="F23" s="789">
        <f t="shared" si="1"/>
        <v>14</v>
      </c>
      <c r="G23" s="801">
        <f>a.4.Centralizat!H26</f>
        <v>1326607.5319999999</v>
      </c>
      <c r="H23" s="801">
        <f>a.4.Centralizat!I26</f>
        <v>321465.99800000002</v>
      </c>
      <c r="I23" s="801">
        <f>a.4.Centralizat!J26</f>
        <v>340543.538</v>
      </c>
      <c r="J23" s="801">
        <f>a.4.Centralizat!K26</f>
        <v>341760.39799999999</v>
      </c>
      <c r="K23" s="801">
        <f>a.4.Centralizat!L26</f>
        <v>322837.598</v>
      </c>
      <c r="L23" s="801">
        <f>a.4.Centralizat!O26</f>
        <v>3140652</v>
      </c>
      <c r="M23" s="801">
        <v>2636736.1799999997</v>
      </c>
      <c r="N23" s="801">
        <v>1326607.5319999999</v>
      </c>
      <c r="O23" s="797">
        <f t="shared" si="0"/>
        <v>0</v>
      </c>
      <c r="P23" s="798"/>
    </row>
    <row r="24" spans="1:16" x14ac:dyDescent="0.25">
      <c r="A24" s="846"/>
      <c r="B24" s="789"/>
      <c r="C24" s="789"/>
      <c r="D24" s="789" t="s">
        <v>329</v>
      </c>
      <c r="E24" s="793" t="s">
        <v>330</v>
      </c>
      <c r="F24" s="789">
        <f t="shared" si="1"/>
        <v>15</v>
      </c>
      <c r="G24" s="801">
        <f>a.4.Centralizat!H27</f>
        <v>519274.12400000001</v>
      </c>
      <c r="H24" s="801">
        <f>a.4.Centralizat!I27</f>
        <v>119685.14599999999</v>
      </c>
      <c r="I24" s="801">
        <f>a.4.Centralizat!J27</f>
        <v>138712.68599999999</v>
      </c>
      <c r="J24" s="801">
        <f>a.4.Centralizat!K27</f>
        <v>139879.54599999997</v>
      </c>
      <c r="K24" s="801">
        <f>a.4.Centralizat!L27</f>
        <v>120996.746</v>
      </c>
      <c r="L24" s="801">
        <f>a.4.Centralizat!O27</f>
        <v>1957823</v>
      </c>
      <c r="M24" s="801">
        <v>530136.17999999993</v>
      </c>
      <c r="N24" s="801">
        <v>519274.12400000001</v>
      </c>
      <c r="O24" s="797">
        <f t="shared" si="0"/>
        <v>0</v>
      </c>
      <c r="P24" s="798"/>
    </row>
    <row r="25" spans="1:16" ht="40.5" customHeight="1" x14ac:dyDescent="0.25">
      <c r="A25" s="846"/>
      <c r="B25" s="789"/>
      <c r="C25" s="789"/>
      <c r="D25" s="789" t="s">
        <v>52</v>
      </c>
      <c r="E25" s="802" t="s">
        <v>331</v>
      </c>
      <c r="F25" s="789">
        <f t="shared" si="1"/>
        <v>16</v>
      </c>
      <c r="G25" s="801">
        <f>a.4.Centralizat!H28</f>
        <v>0</v>
      </c>
      <c r="H25" s="801">
        <f>a.4.Centralizat!I28</f>
        <v>0</v>
      </c>
      <c r="I25" s="801">
        <f>a.4.Centralizat!J28</f>
        <v>0</v>
      </c>
      <c r="J25" s="801">
        <f>a.4.Centralizat!K28</f>
        <v>0</v>
      </c>
      <c r="K25" s="801">
        <f>a.4.Centralizat!L28</f>
        <v>0</v>
      </c>
      <c r="L25" s="801">
        <f>a.4.Centralizat!O28</f>
        <v>0</v>
      </c>
      <c r="M25" s="801">
        <v>0</v>
      </c>
      <c r="N25" s="801">
        <v>0</v>
      </c>
      <c r="O25" s="797">
        <f t="shared" si="0"/>
        <v>0</v>
      </c>
      <c r="P25" s="798"/>
    </row>
    <row r="26" spans="1:16" x14ac:dyDescent="0.25">
      <c r="A26" s="846"/>
      <c r="B26" s="789"/>
      <c r="C26" s="789"/>
      <c r="D26" s="789"/>
      <c r="E26" s="793" t="s">
        <v>332</v>
      </c>
      <c r="F26" s="789">
        <f t="shared" si="1"/>
        <v>17</v>
      </c>
      <c r="G26" s="801">
        <f>a.4.Centralizat!H29</f>
        <v>0</v>
      </c>
      <c r="H26" s="801">
        <f>a.4.Centralizat!I29</f>
        <v>0</v>
      </c>
      <c r="I26" s="801">
        <f>a.4.Centralizat!J29</f>
        <v>0</v>
      </c>
      <c r="J26" s="801">
        <f>a.4.Centralizat!K29</f>
        <v>0</v>
      </c>
      <c r="K26" s="801">
        <f>a.4.Centralizat!L29</f>
        <v>0</v>
      </c>
      <c r="L26" s="801">
        <f>a.4.Centralizat!O29</f>
        <v>0</v>
      </c>
      <c r="M26" s="801">
        <v>0</v>
      </c>
      <c r="N26" s="801">
        <v>0</v>
      </c>
      <c r="O26" s="797">
        <f t="shared" si="0"/>
        <v>0</v>
      </c>
      <c r="P26" s="798"/>
    </row>
    <row r="27" spans="1:16" x14ac:dyDescent="0.25">
      <c r="A27" s="846"/>
      <c r="B27" s="789"/>
      <c r="C27" s="789"/>
      <c r="D27" s="789"/>
      <c r="E27" s="793" t="s">
        <v>333</v>
      </c>
      <c r="F27" s="789">
        <f t="shared" si="1"/>
        <v>18</v>
      </c>
      <c r="G27" s="801">
        <f>a.4.Centralizat!H30</f>
        <v>0</v>
      </c>
      <c r="H27" s="801">
        <f>a.4.Centralizat!I30</f>
        <v>0</v>
      </c>
      <c r="I27" s="801">
        <f>a.4.Centralizat!J30</f>
        <v>0</v>
      </c>
      <c r="J27" s="801">
        <f>a.4.Centralizat!K30</f>
        <v>0</v>
      </c>
      <c r="K27" s="801">
        <f>a.4.Centralizat!L30</f>
        <v>0</v>
      </c>
      <c r="L27" s="801">
        <f>a.4.Centralizat!O30</f>
        <v>0</v>
      </c>
      <c r="M27" s="801">
        <v>0</v>
      </c>
      <c r="N27" s="801">
        <v>0</v>
      </c>
      <c r="O27" s="797">
        <f t="shared" si="0"/>
        <v>0</v>
      </c>
      <c r="P27" s="798"/>
    </row>
    <row r="28" spans="1:16" x14ac:dyDescent="0.25">
      <c r="A28" s="846"/>
      <c r="B28" s="789"/>
      <c r="C28" s="789"/>
      <c r="D28" s="789" t="s">
        <v>53</v>
      </c>
      <c r="E28" s="793" t="s">
        <v>334</v>
      </c>
      <c r="F28" s="789">
        <f t="shared" si="1"/>
        <v>19</v>
      </c>
      <c r="G28" s="801">
        <f>a.4.Centralizat!H31</f>
        <v>0</v>
      </c>
      <c r="H28" s="801">
        <f>a.4.Centralizat!I31</f>
        <v>0</v>
      </c>
      <c r="I28" s="801">
        <f>a.4.Centralizat!J31</f>
        <v>0</v>
      </c>
      <c r="J28" s="801">
        <f>a.4.Centralizat!K31</f>
        <v>0</v>
      </c>
      <c r="K28" s="801">
        <f>a.4.Centralizat!L31</f>
        <v>0</v>
      </c>
      <c r="L28" s="801">
        <f>a.4.Centralizat!O31</f>
        <v>0</v>
      </c>
      <c r="M28" s="801">
        <v>0</v>
      </c>
      <c r="N28" s="801">
        <v>0</v>
      </c>
      <c r="O28" s="797">
        <f t="shared" si="0"/>
        <v>0</v>
      </c>
      <c r="P28" s="798"/>
    </row>
    <row r="29" spans="1:16" x14ac:dyDescent="0.25">
      <c r="A29" s="846"/>
      <c r="B29" s="789"/>
      <c r="C29" s="789"/>
      <c r="D29" s="789" t="s">
        <v>54</v>
      </c>
      <c r="E29" s="793" t="s">
        <v>335</v>
      </c>
      <c r="F29" s="789">
        <f t="shared" si="1"/>
        <v>20</v>
      </c>
      <c r="G29" s="801">
        <f>a.4.Centralizat!H32</f>
        <v>0</v>
      </c>
      <c r="H29" s="801">
        <f>a.4.Centralizat!I32</f>
        <v>0</v>
      </c>
      <c r="I29" s="801">
        <f>a.4.Centralizat!J32</f>
        <v>0</v>
      </c>
      <c r="J29" s="801">
        <f>a.4.Centralizat!K32</f>
        <v>0</v>
      </c>
      <c r="K29" s="801">
        <f>a.4.Centralizat!L32</f>
        <v>0</v>
      </c>
      <c r="L29" s="801">
        <f>a.4.Centralizat!O32</f>
        <v>0</v>
      </c>
      <c r="M29" s="801">
        <v>0</v>
      </c>
      <c r="N29" s="801">
        <v>0</v>
      </c>
      <c r="O29" s="797">
        <f t="shared" si="0"/>
        <v>0</v>
      </c>
      <c r="P29" s="798"/>
    </row>
    <row r="30" spans="1:16" x14ac:dyDescent="0.25">
      <c r="A30" s="846"/>
      <c r="B30" s="789"/>
      <c r="C30" s="789"/>
      <c r="D30" s="789" t="s">
        <v>55</v>
      </c>
      <c r="E30" s="793" t="s">
        <v>321</v>
      </c>
      <c r="F30" s="789">
        <f t="shared" si="1"/>
        <v>21</v>
      </c>
      <c r="G30" s="801">
        <f>a.4.Centralizat!H33</f>
        <v>807333.40800000005</v>
      </c>
      <c r="H30" s="801">
        <f>a.4.Centralizat!I33</f>
        <v>201780.85200000001</v>
      </c>
      <c r="I30" s="801">
        <f>a.4.Centralizat!J33</f>
        <v>201830.85200000001</v>
      </c>
      <c r="J30" s="801">
        <f>a.4.Centralizat!K33</f>
        <v>201880.85200000001</v>
      </c>
      <c r="K30" s="801">
        <f>a.4.Centralizat!L33</f>
        <v>201840.85200000001</v>
      </c>
      <c r="L30" s="801">
        <f>a.4.Centralizat!O33</f>
        <v>1182829</v>
      </c>
      <c r="M30" s="801">
        <v>2106600</v>
      </c>
      <c r="N30" s="801">
        <v>807333.40800000005</v>
      </c>
      <c r="O30" s="797">
        <f t="shared" si="0"/>
        <v>0</v>
      </c>
      <c r="P30" s="798"/>
    </row>
    <row r="31" spans="1:16" x14ac:dyDescent="0.25">
      <c r="A31" s="846"/>
      <c r="B31" s="789" t="s">
        <v>21</v>
      </c>
      <c r="C31" s="789"/>
      <c r="D31" s="848" t="s">
        <v>336</v>
      </c>
      <c r="E31" s="848"/>
      <c r="F31" s="789">
        <f t="shared" si="1"/>
        <v>22</v>
      </c>
      <c r="G31" s="801">
        <f>a.4.Centralizat!H34</f>
        <v>950057.674</v>
      </c>
      <c r="H31" s="801">
        <f>a.4.Centralizat!I34</f>
        <v>300012.80599999998</v>
      </c>
      <c r="I31" s="801">
        <f>a.4.Centralizat!J34</f>
        <v>250014.06600000002</v>
      </c>
      <c r="J31" s="801">
        <f>a.4.Centralizat!K34</f>
        <v>200015.62600000002</v>
      </c>
      <c r="K31" s="801">
        <f>a.4.Centralizat!L34</f>
        <v>200015.17600000001</v>
      </c>
      <c r="L31" s="801">
        <f>a.4.Centralizat!O34</f>
        <v>1788045</v>
      </c>
      <c r="M31" s="801">
        <v>1585184.31</v>
      </c>
      <c r="N31" s="801">
        <v>950057.674</v>
      </c>
      <c r="O31" s="797">
        <f t="shared" si="0"/>
        <v>0</v>
      </c>
      <c r="P31" s="798"/>
    </row>
    <row r="32" spans="1:16" x14ac:dyDescent="0.25">
      <c r="A32" s="846"/>
      <c r="B32" s="846"/>
      <c r="C32" s="789" t="s">
        <v>27</v>
      </c>
      <c r="D32" s="849" t="s">
        <v>337</v>
      </c>
      <c r="E32" s="849"/>
      <c r="F32" s="789">
        <f t="shared" si="1"/>
        <v>23</v>
      </c>
      <c r="G32" s="801">
        <f>a.4.Centralizat!H35</f>
        <v>0</v>
      </c>
      <c r="H32" s="801">
        <f>a.4.Centralizat!I35</f>
        <v>0</v>
      </c>
      <c r="I32" s="801">
        <f>a.4.Centralizat!J35</f>
        <v>0</v>
      </c>
      <c r="J32" s="801">
        <f>a.4.Centralizat!K35</f>
        <v>0</v>
      </c>
      <c r="K32" s="801">
        <f>a.4.Centralizat!L35</f>
        <v>0</v>
      </c>
      <c r="L32" s="801">
        <f>a.4.Centralizat!O35</f>
        <v>0</v>
      </c>
      <c r="M32" s="801">
        <v>0</v>
      </c>
      <c r="N32" s="801">
        <v>0</v>
      </c>
      <c r="O32" s="797">
        <f t="shared" si="0"/>
        <v>0</v>
      </c>
      <c r="P32" s="798"/>
    </row>
    <row r="33" spans="1:16" x14ac:dyDescent="0.25">
      <c r="A33" s="846"/>
      <c r="B33" s="846"/>
      <c r="C33" s="789" t="s">
        <v>38</v>
      </c>
      <c r="D33" s="849" t="s">
        <v>338</v>
      </c>
      <c r="E33" s="849"/>
      <c r="F33" s="789">
        <f t="shared" si="1"/>
        <v>24</v>
      </c>
      <c r="G33" s="801">
        <f>a.4.Centralizat!H36</f>
        <v>0</v>
      </c>
      <c r="H33" s="801">
        <f>a.4.Centralizat!I36</f>
        <v>0</v>
      </c>
      <c r="I33" s="801">
        <f>a.4.Centralizat!J36</f>
        <v>0</v>
      </c>
      <c r="J33" s="801">
        <f>a.4.Centralizat!K36</f>
        <v>0</v>
      </c>
      <c r="K33" s="801">
        <f>a.4.Centralizat!L36</f>
        <v>0</v>
      </c>
      <c r="L33" s="801">
        <f>a.4.Centralizat!O36</f>
        <v>0</v>
      </c>
      <c r="M33" s="801">
        <v>0</v>
      </c>
      <c r="N33" s="801">
        <v>0</v>
      </c>
      <c r="O33" s="797">
        <f t="shared" si="0"/>
        <v>0</v>
      </c>
      <c r="P33" s="798"/>
    </row>
    <row r="34" spans="1:16" x14ac:dyDescent="0.25">
      <c r="A34" s="846"/>
      <c r="B34" s="846"/>
      <c r="C34" s="789" t="s">
        <v>40</v>
      </c>
      <c r="D34" s="849" t="s">
        <v>339</v>
      </c>
      <c r="E34" s="849"/>
      <c r="F34" s="789">
        <f t="shared" si="1"/>
        <v>25</v>
      </c>
      <c r="G34" s="801">
        <f>a.4.Centralizat!H37</f>
        <v>450000</v>
      </c>
      <c r="H34" s="801">
        <f>a.4.Centralizat!I37</f>
        <v>150000</v>
      </c>
      <c r="I34" s="801">
        <f>a.4.Centralizat!J37</f>
        <v>100000</v>
      </c>
      <c r="J34" s="801">
        <f>a.4.Centralizat!K37</f>
        <v>100000</v>
      </c>
      <c r="K34" s="801">
        <f>a.4.Centralizat!L37</f>
        <v>100000</v>
      </c>
      <c r="L34" s="801">
        <f>a.4.Centralizat!O37</f>
        <v>903303</v>
      </c>
      <c r="M34" s="801">
        <v>1035000</v>
      </c>
      <c r="N34" s="801">
        <v>450000</v>
      </c>
      <c r="O34" s="797">
        <f t="shared" si="0"/>
        <v>0</v>
      </c>
      <c r="P34" s="798"/>
    </row>
    <row r="35" spans="1:16" x14ac:dyDescent="0.25">
      <c r="A35" s="846"/>
      <c r="B35" s="846"/>
      <c r="C35" s="789" t="s">
        <v>42</v>
      </c>
      <c r="D35" s="849" t="s">
        <v>340</v>
      </c>
      <c r="E35" s="849"/>
      <c r="F35" s="789">
        <f t="shared" si="1"/>
        <v>26</v>
      </c>
      <c r="G35" s="801">
        <f>a.4.Centralizat!H38</f>
        <v>500057.674</v>
      </c>
      <c r="H35" s="801">
        <f>a.4.Centralizat!I38</f>
        <v>150012.80600000001</v>
      </c>
      <c r="I35" s="801">
        <f>a.4.Centralizat!J38</f>
        <v>150014.06600000002</v>
      </c>
      <c r="J35" s="801">
        <f>a.4.Centralizat!K38</f>
        <v>100015.626</v>
      </c>
      <c r="K35" s="801">
        <f>a.4.Centralizat!L38</f>
        <v>100015.17600000001</v>
      </c>
      <c r="L35" s="801">
        <f>a.4.Centralizat!O38</f>
        <v>884742</v>
      </c>
      <c r="M35" s="801">
        <v>550184.30999999994</v>
      </c>
      <c r="N35" s="801">
        <v>500057.674</v>
      </c>
      <c r="O35" s="797">
        <f t="shared" si="0"/>
        <v>0</v>
      </c>
      <c r="P35" s="798"/>
    </row>
    <row r="36" spans="1:16" x14ac:dyDescent="0.25">
      <c r="A36" s="846"/>
      <c r="B36" s="846"/>
      <c r="C36" s="789" t="s">
        <v>28</v>
      </c>
      <c r="D36" s="849" t="s">
        <v>341</v>
      </c>
      <c r="E36" s="849"/>
      <c r="F36" s="789">
        <f t="shared" si="1"/>
        <v>27</v>
      </c>
      <c r="G36" s="801">
        <f>a.4.Centralizat!H39</f>
        <v>0</v>
      </c>
      <c r="H36" s="801">
        <f>a.4.Centralizat!I39</f>
        <v>0</v>
      </c>
      <c r="I36" s="801">
        <f>a.4.Centralizat!J39</f>
        <v>0</v>
      </c>
      <c r="J36" s="801">
        <f>a.4.Centralizat!K39</f>
        <v>0</v>
      </c>
      <c r="K36" s="801">
        <f>a.4.Centralizat!L39</f>
        <v>0</v>
      </c>
      <c r="L36" s="801">
        <f>a.4.Centralizat!O39</f>
        <v>0</v>
      </c>
      <c r="M36" s="801">
        <v>0</v>
      </c>
      <c r="N36" s="801">
        <v>0</v>
      </c>
      <c r="O36" s="797">
        <f t="shared" si="0"/>
        <v>0</v>
      </c>
      <c r="P36" s="798"/>
    </row>
    <row r="37" spans="1:16" x14ac:dyDescent="0.25">
      <c r="A37" s="846"/>
      <c r="B37" s="789" t="s">
        <v>17</v>
      </c>
      <c r="C37" s="789"/>
      <c r="D37" s="849" t="s">
        <v>115</v>
      </c>
      <c r="E37" s="849"/>
      <c r="F37" s="789">
        <f t="shared" si="1"/>
        <v>28</v>
      </c>
      <c r="G37" s="801">
        <f>a.4.Centralizat!H40</f>
        <v>0</v>
      </c>
      <c r="H37" s="801">
        <f>a.4.Centralizat!I40</f>
        <v>0</v>
      </c>
      <c r="I37" s="801">
        <f>a.4.Centralizat!J40</f>
        <v>0</v>
      </c>
      <c r="J37" s="801">
        <f>a.4.Centralizat!K40</f>
        <v>0</v>
      </c>
      <c r="K37" s="801">
        <f>a.4.Centralizat!L40</f>
        <v>0</v>
      </c>
      <c r="L37" s="801">
        <f>a.4.Centralizat!O40</f>
        <v>0</v>
      </c>
      <c r="M37" s="801">
        <v>0</v>
      </c>
      <c r="N37" s="801">
        <v>0</v>
      </c>
      <c r="O37" s="797">
        <f t="shared" si="0"/>
        <v>0</v>
      </c>
      <c r="P37" s="798"/>
    </row>
    <row r="38" spans="1:16" x14ac:dyDescent="0.25">
      <c r="A38" s="790" t="s">
        <v>23</v>
      </c>
      <c r="B38" s="847" t="s">
        <v>463</v>
      </c>
      <c r="C38" s="847"/>
      <c r="D38" s="847"/>
      <c r="E38" s="847"/>
      <c r="F38" s="789">
        <f t="shared" si="1"/>
        <v>29</v>
      </c>
      <c r="G38" s="796">
        <f>a.4.Centralizat!H41</f>
        <v>126930334.85888</v>
      </c>
      <c r="H38" s="796">
        <f>a.4.Centralizat!I41</f>
        <v>26828189.174519997</v>
      </c>
      <c r="I38" s="796">
        <f>a.4.Centralizat!J41</f>
        <v>30030229.225339994</v>
      </c>
      <c r="J38" s="796">
        <f>a.4.Centralizat!K41</f>
        <v>33061463.856080003</v>
      </c>
      <c r="K38" s="796">
        <f>a.4.Centralizat!L41</f>
        <v>37010452.602939986</v>
      </c>
      <c r="L38" s="796">
        <f>a.4.Centralizat!O41</f>
        <v>108845474.63451999</v>
      </c>
      <c r="M38" s="796">
        <v>119745058.75237469</v>
      </c>
      <c r="N38" s="796">
        <v>121251167.85888</v>
      </c>
      <c r="O38" s="797">
        <f t="shared" si="0"/>
        <v>5679167</v>
      </c>
      <c r="P38" s="798"/>
    </row>
    <row r="39" spans="1:16" x14ac:dyDescent="0.25">
      <c r="A39" s="846"/>
      <c r="B39" s="789" t="s">
        <v>4</v>
      </c>
      <c r="C39" s="850" t="s">
        <v>464</v>
      </c>
      <c r="D39" s="850"/>
      <c r="E39" s="850"/>
      <c r="F39" s="789">
        <f t="shared" si="1"/>
        <v>30</v>
      </c>
      <c r="G39" s="796">
        <f>a.4.Centralizat!H42</f>
        <v>125120334.85888</v>
      </c>
      <c r="H39" s="796">
        <f>a.4.Centralizat!I42</f>
        <v>26258189.174519997</v>
      </c>
      <c r="I39" s="796">
        <f>a.4.Centralizat!J42</f>
        <v>29830229.225339994</v>
      </c>
      <c r="J39" s="796">
        <f>a.4.Centralizat!K42</f>
        <v>32306463.856080003</v>
      </c>
      <c r="K39" s="796">
        <f>a.4.Centralizat!L42</f>
        <v>36725452.602939993</v>
      </c>
      <c r="L39" s="796">
        <f>a.4.Centralizat!O42</f>
        <v>107056397.63451999</v>
      </c>
      <c r="M39" s="796">
        <v>117343879.75237469</v>
      </c>
      <c r="N39" s="796">
        <v>119441167.85888</v>
      </c>
      <c r="O39" s="797">
        <f t="shared" si="0"/>
        <v>5679167</v>
      </c>
      <c r="P39" s="798"/>
    </row>
    <row r="40" spans="1:16" x14ac:dyDescent="0.25">
      <c r="A40" s="846"/>
      <c r="B40" s="846"/>
      <c r="C40" s="850" t="s">
        <v>473</v>
      </c>
      <c r="D40" s="850"/>
      <c r="E40" s="850"/>
      <c r="F40" s="789">
        <f t="shared" si="1"/>
        <v>31</v>
      </c>
      <c r="G40" s="796">
        <f>a.4.Centralizat!H43</f>
        <v>55297567.43</v>
      </c>
      <c r="H40" s="796">
        <f>a.4.Centralizat!I43</f>
        <v>12560373.84</v>
      </c>
      <c r="I40" s="796">
        <f>a.4.Centralizat!J43</f>
        <v>14097800.75</v>
      </c>
      <c r="J40" s="796">
        <f>a.4.Centralizat!K43</f>
        <v>14959815.210000001</v>
      </c>
      <c r="K40" s="796">
        <f>a.4.Centralizat!L43</f>
        <v>13679577.630000001</v>
      </c>
      <c r="L40" s="796">
        <f>a.4.Centralizat!O43</f>
        <v>43553966</v>
      </c>
      <c r="M40" s="796">
        <v>49328134.633922502</v>
      </c>
      <c r="N40" s="796">
        <v>54982567.43</v>
      </c>
      <c r="O40" s="797">
        <f t="shared" si="0"/>
        <v>315000</v>
      </c>
      <c r="P40" s="798"/>
    </row>
    <row r="41" spans="1:16" x14ac:dyDescent="0.25">
      <c r="A41" s="846"/>
      <c r="B41" s="846"/>
      <c r="C41" s="790" t="s">
        <v>265</v>
      </c>
      <c r="D41" s="846" t="s">
        <v>342</v>
      </c>
      <c r="E41" s="846"/>
      <c r="F41" s="789">
        <f t="shared" si="1"/>
        <v>32</v>
      </c>
      <c r="G41" s="799">
        <f>a.4.Centralizat!H44</f>
        <v>38307838.230000004</v>
      </c>
      <c r="H41" s="799">
        <f>a.4.Centralizat!I44</f>
        <v>9146859.0700000003</v>
      </c>
      <c r="I41" s="799">
        <f>a.4.Centralizat!J44</f>
        <v>9815889.75</v>
      </c>
      <c r="J41" s="799">
        <f>a.4.Centralizat!K44</f>
        <v>10224123.880000001</v>
      </c>
      <c r="K41" s="799">
        <f>a.4.Centralizat!L44</f>
        <v>9120965.5300000012</v>
      </c>
      <c r="L41" s="799">
        <f>a.4.Centralizat!O44</f>
        <v>32317900</v>
      </c>
      <c r="M41" s="799">
        <v>34558943.218805</v>
      </c>
      <c r="N41" s="799">
        <v>38307838.230000004</v>
      </c>
      <c r="O41" s="797">
        <f t="shared" si="0"/>
        <v>0</v>
      </c>
      <c r="P41" s="798"/>
    </row>
    <row r="42" spans="1:16" x14ac:dyDescent="0.25">
      <c r="A42" s="846"/>
      <c r="B42" s="846"/>
      <c r="C42" s="789" t="s">
        <v>27</v>
      </c>
      <c r="D42" s="849" t="s">
        <v>227</v>
      </c>
      <c r="E42" s="849"/>
      <c r="F42" s="789">
        <f t="shared" si="1"/>
        <v>33</v>
      </c>
      <c r="G42" s="799">
        <f>a.4.Centralizat!H45</f>
        <v>2081815.31</v>
      </c>
      <c r="H42" s="799">
        <f>a.4.Centralizat!I45</f>
        <v>507613.15</v>
      </c>
      <c r="I42" s="799">
        <f>a.4.Centralizat!J45</f>
        <v>557643.14999999991</v>
      </c>
      <c r="J42" s="799">
        <f>a.4.Centralizat!K45</f>
        <v>457743.15</v>
      </c>
      <c r="K42" s="799">
        <f>a.4.Centralizat!L45</f>
        <v>558815.86</v>
      </c>
      <c r="L42" s="799">
        <f>a.4.Centralizat!O45</f>
        <v>1639505</v>
      </c>
      <c r="M42" s="799">
        <v>1435336.257985</v>
      </c>
      <c r="N42" s="799">
        <v>2081815.31</v>
      </c>
      <c r="O42" s="797">
        <f t="shared" si="0"/>
        <v>0</v>
      </c>
      <c r="P42" s="798"/>
    </row>
    <row r="43" spans="1:16" x14ac:dyDescent="0.25">
      <c r="A43" s="846"/>
      <c r="B43" s="846"/>
      <c r="C43" s="789" t="s">
        <v>38</v>
      </c>
      <c r="D43" s="849" t="s">
        <v>267</v>
      </c>
      <c r="E43" s="849"/>
      <c r="F43" s="789">
        <f t="shared" si="1"/>
        <v>34</v>
      </c>
      <c r="G43" s="799">
        <f>a.4.Centralizat!H46</f>
        <v>7312656.6399999997</v>
      </c>
      <c r="H43" s="799">
        <f>a.4.Centralizat!I46</f>
        <v>1560692.88</v>
      </c>
      <c r="I43" s="799">
        <f>a.4.Centralizat!J46</f>
        <v>2004429.69</v>
      </c>
      <c r="J43" s="799">
        <f>a.4.Centralizat!K46</f>
        <v>1987998.4</v>
      </c>
      <c r="K43" s="799">
        <f>a.4.Centralizat!L46</f>
        <v>1759535.67</v>
      </c>
      <c r="L43" s="799">
        <f>a.4.Centralizat!O46</f>
        <v>6226815</v>
      </c>
      <c r="M43" s="799">
        <v>6848512.6945993993</v>
      </c>
      <c r="N43" s="799">
        <v>7312656.6399999997</v>
      </c>
      <c r="O43" s="797">
        <f t="shared" si="0"/>
        <v>0</v>
      </c>
      <c r="P43" s="798"/>
    </row>
    <row r="44" spans="1:16" x14ac:dyDescent="0.25">
      <c r="A44" s="846"/>
      <c r="B44" s="846"/>
      <c r="C44" s="789"/>
      <c r="D44" s="793" t="s">
        <v>76</v>
      </c>
      <c r="E44" s="793" t="s">
        <v>268</v>
      </c>
      <c r="F44" s="789">
        <f t="shared" si="1"/>
        <v>35</v>
      </c>
      <c r="G44" s="799">
        <f>a.4.Centralizat!H47</f>
        <v>4604339.93</v>
      </c>
      <c r="H44" s="799">
        <f>a.4.Centralizat!I47</f>
        <v>949342.86</v>
      </c>
      <c r="I44" s="799">
        <f>a.4.Centralizat!J47</f>
        <v>1283331.17</v>
      </c>
      <c r="J44" s="799">
        <f>a.4.Centralizat!K47</f>
        <v>1251062.23</v>
      </c>
      <c r="K44" s="799">
        <f>a.4.Centralizat!L47</f>
        <v>1120603.67</v>
      </c>
      <c r="L44" s="799">
        <f>a.4.Centralizat!O47</f>
        <v>4216376</v>
      </c>
      <c r="M44" s="799">
        <v>4347078.5226568002</v>
      </c>
      <c r="N44" s="799">
        <v>4604339.93</v>
      </c>
      <c r="O44" s="797">
        <f t="shared" si="0"/>
        <v>0</v>
      </c>
      <c r="P44" s="798"/>
    </row>
    <row r="45" spans="1:16" x14ac:dyDescent="0.25">
      <c r="A45" s="846"/>
      <c r="B45" s="846"/>
      <c r="C45" s="789"/>
      <c r="D45" s="793" t="s">
        <v>99</v>
      </c>
      <c r="E45" s="793" t="s">
        <v>269</v>
      </c>
      <c r="F45" s="789">
        <f t="shared" si="1"/>
        <v>36</v>
      </c>
      <c r="G45" s="799">
        <f>a.4.Centralizat!H54</f>
        <v>2711966.71</v>
      </c>
      <c r="H45" s="799">
        <f>a.4.Centralizat!I54</f>
        <v>612250.02</v>
      </c>
      <c r="I45" s="799">
        <f>a.4.Centralizat!J54</f>
        <v>721998.52</v>
      </c>
      <c r="J45" s="799">
        <f>a.4.Centralizat!K54</f>
        <v>737836.17</v>
      </c>
      <c r="K45" s="799">
        <f>a.4.Centralizat!L54</f>
        <v>639882</v>
      </c>
      <c r="L45" s="799">
        <f>a.4.Centralizat!O54</f>
        <v>2010439</v>
      </c>
      <c r="M45" s="799">
        <v>2501434.1719426</v>
      </c>
      <c r="N45" s="799">
        <v>2711966.71</v>
      </c>
      <c r="O45" s="797">
        <f t="shared" si="0"/>
        <v>0</v>
      </c>
      <c r="P45" s="798"/>
    </row>
    <row r="46" spans="1:16" x14ac:dyDescent="0.25">
      <c r="A46" s="846"/>
      <c r="B46" s="846"/>
      <c r="C46" s="789" t="s">
        <v>40</v>
      </c>
      <c r="D46" s="851" t="s">
        <v>343</v>
      </c>
      <c r="E46" s="851"/>
      <c r="F46" s="789">
        <f t="shared" si="1"/>
        <v>37</v>
      </c>
      <c r="G46" s="799">
        <f>a.4.Centralizat!H57</f>
        <v>1655291.01</v>
      </c>
      <c r="H46" s="799">
        <f>a.4.Centralizat!I57</f>
        <v>375022.67</v>
      </c>
      <c r="I46" s="799">
        <f>a.4.Centralizat!J57</f>
        <v>376122.67</v>
      </c>
      <c r="J46" s="799">
        <f>a.4.Centralizat!K57</f>
        <v>425822.67</v>
      </c>
      <c r="K46" s="799">
        <f>a.4.Centralizat!L57</f>
        <v>478323</v>
      </c>
      <c r="L46" s="799">
        <f>a.4.Centralizat!O57</f>
        <v>1486420</v>
      </c>
      <c r="M46" s="799">
        <v>1051546.0659937998</v>
      </c>
      <c r="N46" s="799">
        <v>1655291.01</v>
      </c>
      <c r="O46" s="797">
        <f t="shared" si="0"/>
        <v>0</v>
      </c>
      <c r="P46" s="798"/>
    </row>
    <row r="47" spans="1:16" x14ac:dyDescent="0.25">
      <c r="A47" s="846"/>
      <c r="B47" s="846"/>
      <c r="C47" s="789" t="s">
        <v>42</v>
      </c>
      <c r="D47" s="849" t="s">
        <v>271</v>
      </c>
      <c r="E47" s="849"/>
      <c r="F47" s="789">
        <f t="shared" si="1"/>
        <v>38</v>
      </c>
      <c r="G47" s="799">
        <f>a.4.Centralizat!H58</f>
        <v>27258075.27</v>
      </c>
      <c r="H47" s="799">
        <f>a.4.Centralizat!I58</f>
        <v>6703530.3700000001</v>
      </c>
      <c r="I47" s="799">
        <f>a.4.Centralizat!J58</f>
        <v>6877694.2400000002</v>
      </c>
      <c r="J47" s="799">
        <f>a.4.Centralizat!K58</f>
        <v>7352559.6600000001</v>
      </c>
      <c r="K47" s="799">
        <f>a.4.Centralizat!L58</f>
        <v>6324291</v>
      </c>
      <c r="L47" s="799">
        <f>a.4.Centralizat!O58</f>
        <v>22965160</v>
      </c>
      <c r="M47" s="799">
        <v>25223548.200226799</v>
      </c>
      <c r="N47" s="799">
        <v>27258075.27</v>
      </c>
      <c r="O47" s="797">
        <f t="shared" si="0"/>
        <v>0</v>
      </c>
      <c r="P47" s="798"/>
    </row>
    <row r="48" spans="1:16" x14ac:dyDescent="0.25">
      <c r="A48" s="846"/>
      <c r="B48" s="846"/>
      <c r="C48" s="789" t="s">
        <v>28</v>
      </c>
      <c r="D48" s="849" t="s">
        <v>272</v>
      </c>
      <c r="E48" s="849"/>
      <c r="F48" s="789">
        <f t="shared" si="1"/>
        <v>39</v>
      </c>
      <c r="G48" s="799">
        <f>a.4.Centralizat!H64</f>
        <v>0</v>
      </c>
      <c r="H48" s="799">
        <f>a.4.Centralizat!I64</f>
        <v>0</v>
      </c>
      <c r="I48" s="799">
        <f>a.4.Centralizat!J64</f>
        <v>0</v>
      </c>
      <c r="J48" s="799">
        <f>a.4.Centralizat!K64</f>
        <v>0</v>
      </c>
      <c r="K48" s="799">
        <f>a.4.Centralizat!L64</f>
        <v>0</v>
      </c>
      <c r="L48" s="799">
        <f>a.4.Centralizat!O64</f>
        <v>0</v>
      </c>
      <c r="M48" s="799">
        <v>0</v>
      </c>
      <c r="N48" s="799">
        <v>0</v>
      </c>
      <c r="O48" s="797">
        <f t="shared" si="0"/>
        <v>0</v>
      </c>
      <c r="P48" s="798"/>
    </row>
    <row r="49" spans="1:16" x14ac:dyDescent="0.25">
      <c r="A49" s="846"/>
      <c r="B49" s="846"/>
      <c r="C49" s="790" t="s">
        <v>273</v>
      </c>
      <c r="D49" s="848" t="s">
        <v>465</v>
      </c>
      <c r="E49" s="848"/>
      <c r="F49" s="789">
        <f t="shared" si="1"/>
        <v>40</v>
      </c>
      <c r="G49" s="799">
        <f>a.4.Centralizat!H65</f>
        <v>8114574.5999999996</v>
      </c>
      <c r="H49" s="799">
        <f>a.4.Centralizat!I65</f>
        <v>1613166.37</v>
      </c>
      <c r="I49" s="799">
        <f>a.4.Centralizat!J65</f>
        <v>2249414.7999999998</v>
      </c>
      <c r="J49" s="799">
        <f>a.4.Centralizat!K65</f>
        <v>2211973</v>
      </c>
      <c r="K49" s="799">
        <f>a.4.Centralizat!L65</f>
        <v>2039170.43</v>
      </c>
      <c r="L49" s="799">
        <f>a.4.Centralizat!O65</f>
        <v>4478513</v>
      </c>
      <c r="M49" s="799">
        <v>5961749.4235975007</v>
      </c>
      <c r="N49" s="799">
        <v>8114574.5999999996</v>
      </c>
      <c r="O49" s="797">
        <f t="shared" si="0"/>
        <v>0</v>
      </c>
      <c r="P49" s="798"/>
    </row>
    <row r="50" spans="1:16" x14ac:dyDescent="0.25">
      <c r="A50" s="846"/>
      <c r="B50" s="846"/>
      <c r="C50" s="789" t="s">
        <v>27</v>
      </c>
      <c r="D50" s="849" t="s">
        <v>274</v>
      </c>
      <c r="E50" s="849"/>
      <c r="F50" s="789">
        <f t="shared" si="1"/>
        <v>41</v>
      </c>
      <c r="G50" s="799">
        <f>a.4.Centralizat!H66</f>
        <v>7024961.8799999999</v>
      </c>
      <c r="H50" s="799">
        <f>a.4.Centralizat!I66</f>
        <v>1402015.96</v>
      </c>
      <c r="I50" s="799">
        <f>a.4.Centralizat!J66</f>
        <v>1985423.96</v>
      </c>
      <c r="J50" s="799">
        <f>a.4.Centralizat!K66</f>
        <v>1936473.96</v>
      </c>
      <c r="K50" s="799">
        <f>a.4.Centralizat!L66</f>
        <v>1701048</v>
      </c>
      <c r="L50" s="799">
        <f>a.4.Centralizat!O66</f>
        <v>3837966</v>
      </c>
      <c r="M50" s="799">
        <v>5048212.7691079006</v>
      </c>
      <c r="N50" s="799">
        <v>7024961.8799999999</v>
      </c>
      <c r="O50" s="797">
        <f t="shared" si="0"/>
        <v>0</v>
      </c>
      <c r="P50" s="798"/>
    </row>
    <row r="51" spans="1:16" x14ac:dyDescent="0.25">
      <c r="A51" s="846"/>
      <c r="B51" s="846"/>
      <c r="C51" s="789" t="s">
        <v>38</v>
      </c>
      <c r="D51" s="849" t="s">
        <v>275</v>
      </c>
      <c r="E51" s="849"/>
      <c r="F51" s="789">
        <f t="shared" si="1"/>
        <v>42</v>
      </c>
      <c r="G51" s="799">
        <f>a.4.Centralizat!H70</f>
        <v>711893.43</v>
      </c>
      <c r="H51" s="799">
        <f>a.4.Centralizat!I70</f>
        <v>126852</v>
      </c>
      <c r="I51" s="799">
        <f>a.4.Centralizat!J70</f>
        <v>178342</v>
      </c>
      <c r="J51" s="799">
        <f>a.4.Centralizat!K70</f>
        <v>178350</v>
      </c>
      <c r="K51" s="799">
        <f>a.4.Centralizat!L70</f>
        <v>228349.43</v>
      </c>
      <c r="L51" s="799">
        <f>a.4.Centralizat!O70</f>
        <v>431872</v>
      </c>
      <c r="M51" s="799">
        <v>638381.93707820005</v>
      </c>
      <c r="N51" s="799">
        <v>711893.43</v>
      </c>
      <c r="O51" s="797">
        <f t="shared" si="0"/>
        <v>0</v>
      </c>
      <c r="P51" s="798"/>
    </row>
    <row r="52" spans="1:16" ht="30" x14ac:dyDescent="0.25">
      <c r="A52" s="846"/>
      <c r="B52" s="846"/>
      <c r="C52" s="789"/>
      <c r="D52" s="789" t="s">
        <v>76</v>
      </c>
      <c r="E52" s="802" t="s">
        <v>157</v>
      </c>
      <c r="F52" s="789">
        <f t="shared" si="1"/>
        <v>43</v>
      </c>
      <c r="G52" s="799">
        <f>a.4.Centralizat!H71</f>
        <v>99913.43</v>
      </c>
      <c r="H52" s="799">
        <f>a.4.Centralizat!I71</f>
        <v>24982</v>
      </c>
      <c r="I52" s="799">
        <f>a.4.Centralizat!J71</f>
        <v>24972</v>
      </c>
      <c r="J52" s="799">
        <f>a.4.Centralizat!K71</f>
        <v>24980</v>
      </c>
      <c r="K52" s="799">
        <f>a.4.Centralizat!L71</f>
        <v>24979.43</v>
      </c>
      <c r="L52" s="799">
        <f>a.4.Centralizat!O71</f>
        <v>15884</v>
      </c>
      <c r="M52" s="799">
        <v>212395.95199999999</v>
      </c>
      <c r="N52" s="799">
        <v>99913.43</v>
      </c>
      <c r="O52" s="797">
        <f t="shared" si="0"/>
        <v>0</v>
      </c>
      <c r="P52" s="798"/>
    </row>
    <row r="53" spans="1:16" x14ac:dyDescent="0.25">
      <c r="A53" s="846"/>
      <c r="B53" s="846"/>
      <c r="C53" s="789"/>
      <c r="D53" s="789" t="s">
        <v>99</v>
      </c>
      <c r="E53" s="793" t="s">
        <v>158</v>
      </c>
      <c r="F53" s="789">
        <f t="shared" si="1"/>
        <v>44</v>
      </c>
      <c r="G53" s="799">
        <f>a.4.Centralizat!H73</f>
        <v>605480</v>
      </c>
      <c r="H53" s="799">
        <f>a.4.Centralizat!I73</f>
        <v>101370</v>
      </c>
      <c r="I53" s="799">
        <f>a.4.Centralizat!J73</f>
        <v>151370</v>
      </c>
      <c r="J53" s="799">
        <f>a.4.Centralizat!K73</f>
        <v>151370</v>
      </c>
      <c r="K53" s="799">
        <f>a.4.Centralizat!L73</f>
        <v>201370</v>
      </c>
      <c r="L53" s="799">
        <f>a.4.Centralizat!O73</f>
        <v>415988</v>
      </c>
      <c r="M53" s="799">
        <v>409185.9850782</v>
      </c>
      <c r="N53" s="799">
        <v>605480</v>
      </c>
      <c r="O53" s="797">
        <f t="shared" si="0"/>
        <v>0</v>
      </c>
      <c r="P53" s="798"/>
    </row>
    <row r="54" spans="1:16" x14ac:dyDescent="0.25">
      <c r="A54" s="846"/>
      <c r="B54" s="846"/>
      <c r="C54" s="789" t="s">
        <v>40</v>
      </c>
      <c r="D54" s="849" t="s">
        <v>159</v>
      </c>
      <c r="E54" s="849"/>
      <c r="F54" s="789">
        <f t="shared" si="1"/>
        <v>45</v>
      </c>
      <c r="G54" s="799">
        <f>a.4.Centralizat!H74</f>
        <v>305781.40999999997</v>
      </c>
      <c r="H54" s="799">
        <f>a.4.Centralizat!I74</f>
        <v>71432.45</v>
      </c>
      <c r="I54" s="799">
        <f>a.4.Centralizat!J74</f>
        <v>71432.88</v>
      </c>
      <c r="J54" s="799">
        <f>a.4.Centralizat!K74</f>
        <v>81433.08</v>
      </c>
      <c r="K54" s="799">
        <f>a.4.Centralizat!L74</f>
        <v>81483</v>
      </c>
      <c r="L54" s="799">
        <f>a.4.Centralizat!O74</f>
        <v>208675</v>
      </c>
      <c r="M54" s="799">
        <v>275154.71741139999</v>
      </c>
      <c r="N54" s="799">
        <v>305781.40999999997</v>
      </c>
      <c r="O54" s="797">
        <f t="shared" si="0"/>
        <v>0</v>
      </c>
      <c r="P54" s="798"/>
    </row>
    <row r="55" spans="1:16" ht="39" customHeight="1" x14ac:dyDescent="0.25">
      <c r="A55" s="846"/>
      <c r="B55" s="846"/>
      <c r="C55" s="790" t="s">
        <v>160</v>
      </c>
      <c r="D55" s="848" t="s">
        <v>466</v>
      </c>
      <c r="E55" s="848"/>
      <c r="F55" s="789">
        <f t="shared" si="1"/>
        <v>46</v>
      </c>
      <c r="G55" s="799">
        <f>a.4.Centralizat!H75</f>
        <v>8876004.5999999996</v>
      </c>
      <c r="H55" s="799">
        <f>a.4.Centralizat!I75</f>
        <v>1800348.4</v>
      </c>
      <c r="I55" s="799">
        <f>a.4.Centralizat!J75</f>
        <v>2032496.2</v>
      </c>
      <c r="J55" s="799">
        <f>a.4.Centralizat!K75</f>
        <v>2523718.33</v>
      </c>
      <c r="K55" s="799">
        <f>a.4.Centralizat!L75</f>
        <v>2519441.67</v>
      </c>
      <c r="L55" s="799">
        <f>a.4.Centralizat!O75</f>
        <v>6757553</v>
      </c>
      <c r="M55" s="799">
        <v>8807441.9915199988</v>
      </c>
      <c r="N55" s="799">
        <v>8561004.5999999996</v>
      </c>
      <c r="O55" s="797">
        <f t="shared" si="0"/>
        <v>315000</v>
      </c>
      <c r="P55" s="798"/>
    </row>
    <row r="56" spans="1:16" x14ac:dyDescent="0.25">
      <c r="A56" s="846"/>
      <c r="B56" s="846"/>
      <c r="C56" s="789" t="s">
        <v>27</v>
      </c>
      <c r="D56" s="849" t="s">
        <v>161</v>
      </c>
      <c r="E56" s="849"/>
      <c r="F56" s="789">
        <f t="shared" si="1"/>
        <v>47</v>
      </c>
      <c r="G56" s="799">
        <f>a.4.Centralizat!H76</f>
        <v>12000</v>
      </c>
      <c r="H56" s="799">
        <f>a.4.Centralizat!I76</f>
        <v>3000</v>
      </c>
      <c r="I56" s="799">
        <f>a.4.Centralizat!J76</f>
        <v>3000</v>
      </c>
      <c r="J56" s="799">
        <f>a.4.Centralizat!K76</f>
        <v>3000</v>
      </c>
      <c r="K56" s="799">
        <f>a.4.Centralizat!L76</f>
        <v>3000</v>
      </c>
      <c r="L56" s="799">
        <f>a.4.Centralizat!O76</f>
        <v>4586</v>
      </c>
      <c r="M56" s="799">
        <v>6000</v>
      </c>
      <c r="N56" s="799">
        <v>12000</v>
      </c>
      <c r="O56" s="797">
        <f t="shared" si="0"/>
        <v>0</v>
      </c>
      <c r="P56" s="798"/>
    </row>
    <row r="57" spans="1:16" x14ac:dyDescent="0.25">
      <c r="A57" s="846"/>
      <c r="B57" s="846"/>
      <c r="C57" s="789" t="s">
        <v>38</v>
      </c>
      <c r="D57" s="849" t="s">
        <v>162</v>
      </c>
      <c r="E57" s="849"/>
      <c r="F57" s="789">
        <f t="shared" si="1"/>
        <v>48</v>
      </c>
      <c r="G57" s="799">
        <f>a.4.Centralizat!H77</f>
        <v>28000</v>
      </c>
      <c r="H57" s="799">
        <f>a.4.Centralizat!I77</f>
        <v>7000</v>
      </c>
      <c r="I57" s="799">
        <f>a.4.Centralizat!J77</f>
        <v>7000</v>
      </c>
      <c r="J57" s="799">
        <f>a.4.Centralizat!K77</f>
        <v>7000</v>
      </c>
      <c r="K57" s="799">
        <f>a.4.Centralizat!L77</f>
        <v>7000</v>
      </c>
      <c r="L57" s="799">
        <f>a.4.Centralizat!O77</f>
        <v>19460</v>
      </c>
      <c r="M57" s="799">
        <v>420000</v>
      </c>
      <c r="N57" s="799">
        <v>28000</v>
      </c>
      <c r="O57" s="797">
        <f t="shared" si="0"/>
        <v>0</v>
      </c>
      <c r="P57" s="798"/>
    </row>
    <row r="58" spans="1:16" x14ac:dyDescent="0.25">
      <c r="A58" s="846"/>
      <c r="B58" s="846"/>
      <c r="C58" s="789"/>
      <c r="D58" s="849" t="s">
        <v>381</v>
      </c>
      <c r="E58" s="849"/>
      <c r="F58" s="789">
        <f t="shared" si="1"/>
        <v>49</v>
      </c>
      <c r="G58" s="799">
        <f>a.4.Centralizat!H78</f>
        <v>8000</v>
      </c>
      <c r="H58" s="799">
        <f>a.4.Centralizat!I78</f>
        <v>2000</v>
      </c>
      <c r="I58" s="799">
        <f>a.4.Centralizat!J78</f>
        <v>2000</v>
      </c>
      <c r="J58" s="799">
        <f>a.4.Centralizat!K78</f>
        <v>2000</v>
      </c>
      <c r="K58" s="799">
        <f>a.4.Centralizat!L78</f>
        <v>2000</v>
      </c>
      <c r="L58" s="799">
        <f>a.4.Centralizat!O78</f>
        <v>0</v>
      </c>
      <c r="M58" s="799">
        <v>400000</v>
      </c>
      <c r="N58" s="799">
        <v>8000</v>
      </c>
      <c r="O58" s="797">
        <f t="shared" si="0"/>
        <v>0</v>
      </c>
      <c r="P58" s="798"/>
    </row>
    <row r="59" spans="1:16" x14ac:dyDescent="0.25">
      <c r="A59" s="846"/>
      <c r="B59" s="846"/>
      <c r="C59" s="789" t="s">
        <v>40</v>
      </c>
      <c r="D59" s="848" t="s">
        <v>432</v>
      </c>
      <c r="E59" s="848"/>
      <c r="F59" s="789">
        <f t="shared" si="1"/>
        <v>50</v>
      </c>
      <c r="G59" s="799">
        <f>a.4.Centralizat!H79</f>
        <v>465000</v>
      </c>
      <c r="H59" s="799">
        <f>a.4.Centralizat!I79</f>
        <v>80000</v>
      </c>
      <c r="I59" s="799">
        <f>a.4.Centralizat!J79</f>
        <v>100000</v>
      </c>
      <c r="J59" s="799">
        <f>a.4.Centralizat!K79</f>
        <v>105000</v>
      </c>
      <c r="K59" s="799">
        <f>a.4.Centralizat!L79</f>
        <v>180000</v>
      </c>
      <c r="L59" s="799">
        <f>a.4.Centralizat!O79</f>
        <v>383344</v>
      </c>
      <c r="M59" s="799">
        <v>460000</v>
      </c>
      <c r="N59" s="799">
        <v>465000</v>
      </c>
      <c r="O59" s="797">
        <f t="shared" si="0"/>
        <v>0</v>
      </c>
      <c r="P59" s="798"/>
    </row>
    <row r="60" spans="1:16" x14ac:dyDescent="0.25">
      <c r="A60" s="846"/>
      <c r="B60" s="846"/>
      <c r="C60" s="789"/>
      <c r="D60" s="789" t="s">
        <v>278</v>
      </c>
      <c r="E60" s="793" t="s">
        <v>163</v>
      </c>
      <c r="F60" s="789">
        <f t="shared" si="1"/>
        <v>51</v>
      </c>
      <c r="G60" s="799">
        <f>a.4.Centralizat!H80</f>
        <v>155000</v>
      </c>
      <c r="H60" s="799">
        <f>a.4.Centralizat!I80</f>
        <v>30000</v>
      </c>
      <c r="I60" s="799">
        <f>a.4.Centralizat!J80</f>
        <v>40000</v>
      </c>
      <c r="J60" s="799">
        <f>a.4.Centralizat!K80</f>
        <v>35000</v>
      </c>
      <c r="K60" s="799">
        <f>a.4.Centralizat!L80</f>
        <v>50000</v>
      </c>
      <c r="L60" s="799">
        <f>a.4.Centralizat!O80</f>
        <v>85823</v>
      </c>
      <c r="M60" s="799">
        <v>160000</v>
      </c>
      <c r="N60" s="799">
        <v>155000</v>
      </c>
      <c r="O60" s="797">
        <f t="shared" si="0"/>
        <v>0</v>
      </c>
      <c r="P60" s="798"/>
    </row>
    <row r="61" spans="1:16" ht="30" x14ac:dyDescent="0.25">
      <c r="A61" s="846"/>
      <c r="B61" s="846"/>
      <c r="C61" s="789"/>
      <c r="D61" s="789"/>
      <c r="E61" s="802" t="s">
        <v>164</v>
      </c>
      <c r="F61" s="789">
        <f t="shared" si="1"/>
        <v>52</v>
      </c>
      <c r="G61" s="799">
        <f>a.4.Centralizat!H81</f>
        <v>0</v>
      </c>
      <c r="H61" s="799">
        <f>a.4.Centralizat!I81</f>
        <v>0</v>
      </c>
      <c r="I61" s="799">
        <f>a.4.Centralizat!J81</f>
        <v>0</v>
      </c>
      <c r="J61" s="799">
        <f>a.4.Centralizat!K81</f>
        <v>0</v>
      </c>
      <c r="K61" s="799">
        <f>a.4.Centralizat!L81</f>
        <v>0</v>
      </c>
      <c r="L61" s="799">
        <f>a.4.Centralizat!O81</f>
        <v>0</v>
      </c>
      <c r="M61" s="799">
        <v>0</v>
      </c>
      <c r="N61" s="799">
        <v>0</v>
      </c>
      <c r="O61" s="797">
        <f t="shared" si="0"/>
        <v>0</v>
      </c>
      <c r="P61" s="798"/>
    </row>
    <row r="62" spans="1:16" x14ac:dyDescent="0.25">
      <c r="A62" s="846"/>
      <c r="B62" s="846"/>
      <c r="C62" s="789"/>
      <c r="D62" s="789" t="s">
        <v>165</v>
      </c>
      <c r="E62" s="793" t="s">
        <v>166</v>
      </c>
      <c r="F62" s="789">
        <f t="shared" si="1"/>
        <v>53</v>
      </c>
      <c r="G62" s="799">
        <f>a.4.Centralizat!H82</f>
        <v>310000</v>
      </c>
      <c r="H62" s="799">
        <f>a.4.Centralizat!I82</f>
        <v>50000</v>
      </c>
      <c r="I62" s="799">
        <f>a.4.Centralizat!J82</f>
        <v>60000</v>
      </c>
      <c r="J62" s="799">
        <f>a.4.Centralizat!K82</f>
        <v>70000</v>
      </c>
      <c r="K62" s="799">
        <f>a.4.Centralizat!L82</f>
        <v>130000</v>
      </c>
      <c r="L62" s="799">
        <f>a.4.Centralizat!O82</f>
        <v>297521</v>
      </c>
      <c r="M62" s="799">
        <v>300000</v>
      </c>
      <c r="N62" s="799">
        <v>310000</v>
      </c>
      <c r="O62" s="797">
        <f t="shared" si="0"/>
        <v>0</v>
      </c>
      <c r="P62" s="798"/>
    </row>
    <row r="63" spans="1:16" ht="45" x14ac:dyDescent="0.25">
      <c r="A63" s="846"/>
      <c r="B63" s="846"/>
      <c r="C63" s="789"/>
      <c r="D63" s="789"/>
      <c r="E63" s="802" t="s">
        <v>167</v>
      </c>
      <c r="F63" s="789">
        <f t="shared" si="1"/>
        <v>54</v>
      </c>
      <c r="G63" s="799">
        <f>a.4.Centralizat!H83</f>
        <v>0</v>
      </c>
      <c r="H63" s="799">
        <f>a.4.Centralizat!I83</f>
        <v>0</v>
      </c>
      <c r="I63" s="799">
        <f>a.4.Centralizat!J83</f>
        <v>0</v>
      </c>
      <c r="J63" s="799">
        <f>a.4.Centralizat!K83</f>
        <v>0</v>
      </c>
      <c r="K63" s="799">
        <f>a.4.Centralizat!L83</f>
        <v>0</v>
      </c>
      <c r="L63" s="799">
        <f>a.4.Centralizat!O83</f>
        <v>0</v>
      </c>
      <c r="M63" s="799">
        <v>0</v>
      </c>
      <c r="N63" s="799">
        <v>0</v>
      </c>
      <c r="O63" s="797">
        <f t="shared" si="0"/>
        <v>0</v>
      </c>
      <c r="P63" s="798"/>
    </row>
    <row r="64" spans="1:16" ht="60" x14ac:dyDescent="0.25">
      <c r="A64" s="846"/>
      <c r="B64" s="846"/>
      <c r="C64" s="789"/>
      <c r="D64" s="789"/>
      <c r="E64" s="802" t="s">
        <v>168</v>
      </c>
      <c r="F64" s="789">
        <f t="shared" si="1"/>
        <v>55</v>
      </c>
      <c r="G64" s="799">
        <f>a.4.Centralizat!H84</f>
        <v>0</v>
      </c>
      <c r="H64" s="799">
        <f>a.4.Centralizat!I84</f>
        <v>0</v>
      </c>
      <c r="I64" s="799">
        <f>a.4.Centralizat!J84</f>
        <v>0</v>
      </c>
      <c r="J64" s="799">
        <f>a.4.Centralizat!K84</f>
        <v>0</v>
      </c>
      <c r="K64" s="799">
        <f>a.4.Centralizat!L84</f>
        <v>0</v>
      </c>
      <c r="L64" s="799">
        <f>a.4.Centralizat!O84</f>
        <v>0</v>
      </c>
      <c r="M64" s="799">
        <v>0</v>
      </c>
      <c r="N64" s="799">
        <v>0</v>
      </c>
      <c r="O64" s="797">
        <f t="shared" si="0"/>
        <v>0</v>
      </c>
      <c r="P64" s="798"/>
    </row>
    <row r="65" spans="1:16" x14ac:dyDescent="0.25">
      <c r="A65" s="846"/>
      <c r="B65" s="846"/>
      <c r="C65" s="789"/>
      <c r="D65" s="789"/>
      <c r="E65" s="793" t="s">
        <v>169</v>
      </c>
      <c r="F65" s="789">
        <f t="shared" si="1"/>
        <v>56</v>
      </c>
      <c r="G65" s="799">
        <f>a.4.Centralizat!H85</f>
        <v>0</v>
      </c>
      <c r="H65" s="799">
        <f>a.4.Centralizat!I85</f>
        <v>0</v>
      </c>
      <c r="I65" s="799">
        <f>a.4.Centralizat!J85</f>
        <v>0</v>
      </c>
      <c r="J65" s="799">
        <f>a.4.Centralizat!K85</f>
        <v>0</v>
      </c>
      <c r="K65" s="799">
        <f>a.4.Centralizat!L85</f>
        <v>0</v>
      </c>
      <c r="L65" s="799">
        <f>a.4.Centralizat!O85</f>
        <v>0</v>
      </c>
      <c r="M65" s="799"/>
      <c r="N65" s="799">
        <v>0</v>
      </c>
      <c r="O65" s="797">
        <f t="shared" si="0"/>
        <v>0</v>
      </c>
      <c r="P65" s="798"/>
    </row>
    <row r="66" spans="1:16" x14ac:dyDescent="0.25">
      <c r="A66" s="846"/>
      <c r="B66" s="846"/>
      <c r="C66" s="789" t="s">
        <v>42</v>
      </c>
      <c r="D66" s="848" t="s">
        <v>433</v>
      </c>
      <c r="E66" s="848"/>
      <c r="F66" s="789">
        <f t="shared" si="1"/>
        <v>57</v>
      </c>
      <c r="G66" s="799">
        <f>a.4.Centralizat!H86</f>
        <v>375000</v>
      </c>
      <c r="H66" s="799">
        <f>a.4.Centralizat!I86</f>
        <v>85000</v>
      </c>
      <c r="I66" s="799">
        <f>a.4.Centralizat!J86</f>
        <v>93000</v>
      </c>
      <c r="J66" s="799">
        <f>a.4.Centralizat!K86</f>
        <v>103000</v>
      </c>
      <c r="K66" s="799">
        <f>a.4.Centralizat!L86</f>
        <v>94000</v>
      </c>
      <c r="L66" s="799">
        <f>a.4.Centralizat!O86</f>
        <v>207898</v>
      </c>
      <c r="M66" s="799">
        <v>381000</v>
      </c>
      <c r="N66" s="799">
        <v>375000</v>
      </c>
      <c r="O66" s="797">
        <f t="shared" si="0"/>
        <v>0</v>
      </c>
      <c r="P66" s="798"/>
    </row>
    <row r="67" spans="1:16" x14ac:dyDescent="0.25">
      <c r="A67" s="846"/>
      <c r="B67" s="846"/>
      <c r="C67" s="789"/>
      <c r="D67" s="789" t="s">
        <v>170</v>
      </c>
      <c r="E67" s="793" t="s">
        <v>236</v>
      </c>
      <c r="F67" s="789">
        <f t="shared" si="1"/>
        <v>58</v>
      </c>
      <c r="G67" s="799">
        <f>a.4.Centralizat!H87</f>
        <v>200000</v>
      </c>
      <c r="H67" s="799">
        <f>a.4.Centralizat!I87</f>
        <v>50000</v>
      </c>
      <c r="I67" s="799">
        <f>a.4.Centralizat!J87</f>
        <v>50000</v>
      </c>
      <c r="J67" s="799">
        <f>a.4.Centralizat!K87</f>
        <v>50000</v>
      </c>
      <c r="K67" s="799">
        <f>a.4.Centralizat!L87</f>
        <v>50000</v>
      </c>
      <c r="L67" s="799">
        <f>a.4.Centralizat!O87</f>
        <v>102800</v>
      </c>
      <c r="M67" s="799">
        <v>200000</v>
      </c>
      <c r="N67" s="799">
        <v>200000</v>
      </c>
      <c r="O67" s="797">
        <f t="shared" si="0"/>
        <v>0</v>
      </c>
      <c r="P67" s="798"/>
    </row>
    <row r="68" spans="1:16" x14ac:dyDescent="0.25">
      <c r="A68" s="846"/>
      <c r="B68" s="846"/>
      <c r="C68" s="789"/>
      <c r="D68" s="789" t="s">
        <v>171</v>
      </c>
      <c r="E68" s="793" t="s">
        <v>382</v>
      </c>
      <c r="F68" s="789">
        <f t="shared" si="1"/>
        <v>59</v>
      </c>
      <c r="G68" s="799">
        <f>a.4.Centralizat!H88</f>
        <v>25000</v>
      </c>
      <c r="H68" s="799">
        <f>a.4.Centralizat!I88</f>
        <v>5000</v>
      </c>
      <c r="I68" s="799">
        <f>a.4.Centralizat!J88</f>
        <v>8000</v>
      </c>
      <c r="J68" s="799">
        <f>a.4.Centralizat!K88</f>
        <v>5000</v>
      </c>
      <c r="K68" s="799">
        <f>a.4.Centralizat!L88</f>
        <v>7000</v>
      </c>
      <c r="L68" s="799">
        <f>a.4.Centralizat!O88</f>
        <v>12800</v>
      </c>
      <c r="M68" s="799">
        <v>20000</v>
      </c>
      <c r="N68" s="799">
        <v>25000</v>
      </c>
      <c r="O68" s="797">
        <f t="shared" si="0"/>
        <v>0</v>
      </c>
      <c r="P68" s="798"/>
    </row>
    <row r="69" spans="1:16" ht="30" x14ac:dyDescent="0.25">
      <c r="A69" s="846"/>
      <c r="B69" s="846"/>
      <c r="C69" s="789"/>
      <c r="D69" s="789" t="s">
        <v>172</v>
      </c>
      <c r="E69" s="802" t="s">
        <v>383</v>
      </c>
      <c r="F69" s="789">
        <f t="shared" si="1"/>
        <v>60</v>
      </c>
      <c r="G69" s="799">
        <f>a.4.Centralizat!H89</f>
        <v>25000</v>
      </c>
      <c r="H69" s="799">
        <f>a.4.Centralizat!I89</f>
        <v>5000</v>
      </c>
      <c r="I69" s="799">
        <f>a.4.Centralizat!J89</f>
        <v>5000</v>
      </c>
      <c r="J69" s="799">
        <f>a.4.Centralizat!K89</f>
        <v>8000</v>
      </c>
      <c r="K69" s="799">
        <f>a.4.Centralizat!L89</f>
        <v>7000</v>
      </c>
      <c r="L69" s="799">
        <f>a.4.Centralizat!O89</f>
        <v>0</v>
      </c>
      <c r="M69" s="799">
        <v>41000</v>
      </c>
      <c r="N69" s="799">
        <v>25000</v>
      </c>
      <c r="O69" s="797">
        <f t="shared" si="0"/>
        <v>0</v>
      </c>
      <c r="P69" s="798"/>
    </row>
    <row r="70" spans="1:16" x14ac:dyDescent="0.25">
      <c r="A70" s="846"/>
      <c r="B70" s="846"/>
      <c r="C70" s="789"/>
      <c r="D70" s="789" t="s">
        <v>173</v>
      </c>
      <c r="E70" s="793" t="s">
        <v>384</v>
      </c>
      <c r="F70" s="789">
        <f t="shared" si="1"/>
        <v>61</v>
      </c>
      <c r="G70" s="799">
        <f>a.4.Centralizat!H90</f>
        <v>125000</v>
      </c>
      <c r="H70" s="799">
        <f>a.4.Centralizat!I90</f>
        <v>25000</v>
      </c>
      <c r="I70" s="799">
        <f>a.4.Centralizat!J90</f>
        <v>30000</v>
      </c>
      <c r="J70" s="799">
        <f>a.4.Centralizat!K90</f>
        <v>40000</v>
      </c>
      <c r="K70" s="799">
        <f>a.4.Centralizat!L90</f>
        <v>30000</v>
      </c>
      <c r="L70" s="799">
        <f>a.4.Centralizat!O90</f>
        <v>92298</v>
      </c>
      <c r="M70" s="799">
        <v>120000</v>
      </c>
      <c r="N70" s="799">
        <v>125000</v>
      </c>
      <c r="O70" s="797">
        <f t="shared" si="0"/>
        <v>0</v>
      </c>
      <c r="P70" s="798"/>
    </row>
    <row r="71" spans="1:16" x14ac:dyDescent="0.25">
      <c r="A71" s="846"/>
      <c r="B71" s="846"/>
      <c r="C71" s="789" t="s">
        <v>28</v>
      </c>
      <c r="D71" s="849" t="s">
        <v>174</v>
      </c>
      <c r="E71" s="849"/>
      <c r="F71" s="789">
        <f t="shared" si="1"/>
        <v>62</v>
      </c>
      <c r="G71" s="799">
        <f>a.4.Centralizat!H91</f>
        <v>900000</v>
      </c>
      <c r="H71" s="799">
        <f>a.4.Centralizat!I91</f>
        <v>200000</v>
      </c>
      <c r="I71" s="799">
        <f>a.4.Centralizat!J91</f>
        <v>200000</v>
      </c>
      <c r="J71" s="799">
        <f>a.4.Centralizat!K91</f>
        <v>250000</v>
      </c>
      <c r="K71" s="799">
        <f>a.4.Centralizat!L91</f>
        <v>250000</v>
      </c>
      <c r="L71" s="799">
        <f>a.4.Centralizat!O91</f>
        <v>892380</v>
      </c>
      <c r="M71" s="799">
        <v>1110000</v>
      </c>
      <c r="N71" s="799">
        <v>900000</v>
      </c>
      <c r="O71" s="797">
        <f t="shared" si="0"/>
        <v>0</v>
      </c>
      <c r="P71" s="798"/>
    </row>
    <row r="72" spans="1:16" x14ac:dyDescent="0.25">
      <c r="A72" s="846"/>
      <c r="B72" s="846"/>
      <c r="C72" s="789" t="s">
        <v>34</v>
      </c>
      <c r="D72" s="849" t="s">
        <v>175</v>
      </c>
      <c r="E72" s="849"/>
      <c r="F72" s="789">
        <f t="shared" si="1"/>
        <v>63</v>
      </c>
      <c r="G72" s="799">
        <f>a.4.Centralizat!H95</f>
        <v>260000</v>
      </c>
      <c r="H72" s="799">
        <f>a.4.Centralizat!I95</f>
        <v>50000</v>
      </c>
      <c r="I72" s="799">
        <f>a.4.Centralizat!J95</f>
        <v>65000</v>
      </c>
      <c r="J72" s="799">
        <f>a.4.Centralizat!K95</f>
        <v>80000</v>
      </c>
      <c r="K72" s="799">
        <f>a.4.Centralizat!L95</f>
        <v>65000</v>
      </c>
      <c r="L72" s="799">
        <f>a.4.Centralizat!O95</f>
        <v>95362</v>
      </c>
      <c r="M72" s="799">
        <v>321667.82000000007</v>
      </c>
      <c r="N72" s="799">
        <v>260000</v>
      </c>
      <c r="O72" s="797">
        <f t="shared" si="0"/>
        <v>0</v>
      </c>
      <c r="P72" s="798"/>
    </row>
    <row r="73" spans="1:16" x14ac:dyDescent="0.25">
      <c r="A73" s="846"/>
      <c r="B73" s="846"/>
      <c r="C73" s="789"/>
      <c r="D73" s="849" t="s">
        <v>467</v>
      </c>
      <c r="E73" s="849"/>
      <c r="F73" s="789">
        <f t="shared" si="1"/>
        <v>64</v>
      </c>
      <c r="G73" s="799">
        <f>a.4.Centralizat!H96</f>
        <v>120000</v>
      </c>
      <c r="H73" s="799">
        <f>a.4.Centralizat!I96</f>
        <v>25000</v>
      </c>
      <c r="I73" s="799">
        <f>a.4.Centralizat!J96</f>
        <v>35000</v>
      </c>
      <c r="J73" s="799">
        <f>a.4.Centralizat!K96</f>
        <v>30000</v>
      </c>
      <c r="K73" s="799">
        <f>a.4.Centralizat!L96</f>
        <v>30000</v>
      </c>
      <c r="L73" s="799">
        <f>a.4.Centralizat!O96</f>
        <v>53439</v>
      </c>
      <c r="M73" s="799">
        <v>89658.02</v>
      </c>
      <c r="N73" s="799">
        <v>120000</v>
      </c>
      <c r="O73" s="797">
        <f t="shared" si="0"/>
        <v>0</v>
      </c>
      <c r="P73" s="798"/>
    </row>
    <row r="74" spans="1:16" x14ac:dyDescent="0.25">
      <c r="A74" s="846"/>
      <c r="B74" s="846"/>
      <c r="C74" s="789"/>
      <c r="D74" s="846" t="s">
        <v>385</v>
      </c>
      <c r="E74" s="846"/>
      <c r="F74" s="789">
        <f t="shared" si="1"/>
        <v>65</v>
      </c>
      <c r="G74" s="799">
        <f>a.4.Centralizat!H97</f>
        <v>65000</v>
      </c>
      <c r="H74" s="799">
        <f>a.4.Centralizat!I97</f>
        <v>15000</v>
      </c>
      <c r="I74" s="799">
        <f>a.4.Centralizat!J97</f>
        <v>15000</v>
      </c>
      <c r="J74" s="799">
        <f>a.4.Centralizat!K97</f>
        <v>20000</v>
      </c>
      <c r="K74" s="799">
        <f>a.4.Centralizat!L97</f>
        <v>15000</v>
      </c>
      <c r="L74" s="799">
        <f>a.4.Centralizat!O97</f>
        <v>41923</v>
      </c>
      <c r="M74" s="799">
        <v>24000</v>
      </c>
      <c r="N74" s="799">
        <v>65000</v>
      </c>
      <c r="O74" s="797">
        <f t="shared" si="0"/>
        <v>0</v>
      </c>
      <c r="P74" s="798"/>
    </row>
    <row r="75" spans="1:16" x14ac:dyDescent="0.25">
      <c r="A75" s="846"/>
      <c r="B75" s="846"/>
      <c r="C75" s="789"/>
      <c r="D75" s="846" t="s">
        <v>386</v>
      </c>
      <c r="E75" s="846"/>
      <c r="F75" s="789">
        <f t="shared" si="1"/>
        <v>66</v>
      </c>
      <c r="G75" s="799">
        <f>a.4.Centralizat!H98</f>
        <v>55000</v>
      </c>
      <c r="H75" s="799">
        <f>a.4.Centralizat!I98</f>
        <v>10000</v>
      </c>
      <c r="I75" s="799">
        <f>a.4.Centralizat!J98</f>
        <v>20000</v>
      </c>
      <c r="J75" s="799">
        <f>a.4.Centralizat!K98</f>
        <v>10000</v>
      </c>
      <c r="K75" s="799">
        <f>a.4.Centralizat!L98</f>
        <v>15000</v>
      </c>
      <c r="L75" s="799">
        <f>a.4.Centralizat!O98</f>
        <v>11516</v>
      </c>
      <c r="M75" s="799">
        <v>65658.02</v>
      </c>
      <c r="N75" s="799">
        <v>55000</v>
      </c>
      <c r="O75" s="797">
        <f t="shared" ref="O75:O138" si="2">G75-N75</f>
        <v>0</v>
      </c>
      <c r="P75" s="798"/>
    </row>
    <row r="76" spans="1:16" x14ac:dyDescent="0.25">
      <c r="A76" s="846"/>
      <c r="B76" s="846"/>
      <c r="C76" s="789" t="s">
        <v>35</v>
      </c>
      <c r="D76" s="849" t="s">
        <v>177</v>
      </c>
      <c r="E76" s="849"/>
      <c r="F76" s="789">
        <f t="shared" ref="F76:F139" si="3">F75+1</f>
        <v>67</v>
      </c>
      <c r="G76" s="799">
        <f>a.4.Centralizat!H99</f>
        <v>296563.88</v>
      </c>
      <c r="H76" s="799">
        <f>a.4.Centralizat!I99</f>
        <v>71703.899999999994</v>
      </c>
      <c r="I76" s="799">
        <f>a.4.Centralizat!J99</f>
        <v>71579.14</v>
      </c>
      <c r="J76" s="799">
        <f>a.4.Centralizat!K99</f>
        <v>76553.84</v>
      </c>
      <c r="K76" s="799">
        <f>a.4.Centralizat!L99</f>
        <v>76727</v>
      </c>
      <c r="L76" s="799">
        <f>a.4.Centralizat!O99</f>
        <v>211518</v>
      </c>
      <c r="M76" s="799">
        <v>266064.65776959999</v>
      </c>
      <c r="N76" s="799">
        <v>296563.88</v>
      </c>
      <c r="O76" s="797">
        <f t="shared" si="2"/>
        <v>0</v>
      </c>
      <c r="P76" s="798"/>
    </row>
    <row r="77" spans="1:16" x14ac:dyDescent="0.25">
      <c r="A77" s="846"/>
      <c r="B77" s="846"/>
      <c r="C77" s="789" t="s">
        <v>178</v>
      </c>
      <c r="D77" s="849" t="s">
        <v>179</v>
      </c>
      <c r="E77" s="849"/>
      <c r="F77" s="789">
        <f t="shared" si="3"/>
        <v>68</v>
      </c>
      <c r="G77" s="799">
        <f>a.4.Centralizat!H100</f>
        <v>289390.88</v>
      </c>
      <c r="H77" s="799">
        <f>a.4.Centralizat!I100</f>
        <v>62323.08</v>
      </c>
      <c r="I77" s="799">
        <f>a.4.Centralizat!J100</f>
        <v>72377.649999999994</v>
      </c>
      <c r="J77" s="799">
        <f>a.4.Centralizat!K100</f>
        <v>72298.149999999994</v>
      </c>
      <c r="K77" s="799">
        <f>a.4.Centralizat!L100</f>
        <v>82392</v>
      </c>
      <c r="L77" s="799">
        <f>a.4.Centralizat!O100</f>
        <v>208053</v>
      </c>
      <c r="M77" s="799">
        <v>336951.99381280004</v>
      </c>
      <c r="N77" s="799">
        <v>289390.88</v>
      </c>
      <c r="O77" s="797">
        <f t="shared" si="2"/>
        <v>0</v>
      </c>
      <c r="P77" s="798"/>
    </row>
    <row r="78" spans="1:16" x14ac:dyDescent="0.25">
      <c r="A78" s="846"/>
      <c r="B78" s="846"/>
      <c r="C78" s="789" t="s">
        <v>180</v>
      </c>
      <c r="D78" s="848" t="s">
        <v>181</v>
      </c>
      <c r="E78" s="848"/>
      <c r="F78" s="789">
        <f t="shared" si="3"/>
        <v>69</v>
      </c>
      <c r="G78" s="799">
        <f>a.4.Centralizat!H101</f>
        <v>2117852.65</v>
      </c>
      <c r="H78" s="799">
        <f>a.4.Centralizat!I101</f>
        <v>469444.03</v>
      </c>
      <c r="I78" s="799">
        <f>a.4.Centralizat!J101</f>
        <v>504215.43</v>
      </c>
      <c r="J78" s="799">
        <f>a.4.Centralizat!K101</f>
        <v>576596.52</v>
      </c>
      <c r="K78" s="799">
        <f>a.4.Centralizat!L101</f>
        <v>567596.67000000004</v>
      </c>
      <c r="L78" s="799">
        <f>a.4.Centralizat!O101</f>
        <v>1390323</v>
      </c>
      <c r="M78" s="799">
        <v>2190275.9192039999</v>
      </c>
      <c r="N78" s="799">
        <v>2117852.65</v>
      </c>
      <c r="O78" s="797">
        <f t="shared" si="2"/>
        <v>0</v>
      </c>
      <c r="P78" s="798"/>
    </row>
    <row r="79" spans="1:16" x14ac:dyDescent="0.25">
      <c r="A79" s="846"/>
      <c r="B79" s="846"/>
      <c r="C79" s="789"/>
      <c r="D79" s="789" t="s">
        <v>56</v>
      </c>
      <c r="E79" s="793" t="s">
        <v>182</v>
      </c>
      <c r="F79" s="789">
        <f t="shared" si="3"/>
        <v>70</v>
      </c>
      <c r="G79" s="799">
        <f>a.4.Centralizat!H102</f>
        <v>910000</v>
      </c>
      <c r="H79" s="799">
        <f>a.4.Centralizat!I102</f>
        <v>225000</v>
      </c>
      <c r="I79" s="799">
        <f>a.4.Centralizat!J102</f>
        <v>225000</v>
      </c>
      <c r="J79" s="799">
        <f>a.4.Centralizat!K102</f>
        <v>230000</v>
      </c>
      <c r="K79" s="799">
        <f>a.4.Centralizat!L102</f>
        <v>230000</v>
      </c>
      <c r="L79" s="799">
        <f>a.4.Centralizat!O102</f>
        <v>590000</v>
      </c>
      <c r="M79" s="799">
        <v>600000</v>
      </c>
      <c r="N79" s="799">
        <v>910000</v>
      </c>
      <c r="O79" s="797">
        <f t="shared" si="2"/>
        <v>0</v>
      </c>
      <c r="P79" s="798"/>
    </row>
    <row r="80" spans="1:16" ht="30" x14ac:dyDescent="0.25">
      <c r="A80" s="846"/>
      <c r="B80" s="846"/>
      <c r="C80" s="789"/>
      <c r="D80" s="789" t="s">
        <v>57</v>
      </c>
      <c r="E80" s="802" t="s">
        <v>229</v>
      </c>
      <c r="F80" s="789">
        <f t="shared" si="3"/>
        <v>71</v>
      </c>
      <c r="G80" s="799">
        <f>a.4.Centralizat!H103</f>
        <v>375500</v>
      </c>
      <c r="H80" s="799">
        <f>a.4.Centralizat!I103</f>
        <v>50125</v>
      </c>
      <c r="I80" s="799">
        <f>a.4.Centralizat!J103</f>
        <v>75125</v>
      </c>
      <c r="J80" s="799">
        <f>a.4.Centralizat!K103</f>
        <v>100125</v>
      </c>
      <c r="K80" s="799">
        <f>a.4.Centralizat!L103</f>
        <v>150125</v>
      </c>
      <c r="L80" s="799">
        <f>a.4.Centralizat!O103</f>
        <v>81960</v>
      </c>
      <c r="M80" s="799">
        <v>450287</v>
      </c>
      <c r="N80" s="799">
        <v>375500</v>
      </c>
      <c r="O80" s="797">
        <f t="shared" si="2"/>
        <v>0</v>
      </c>
      <c r="P80" s="798"/>
    </row>
    <row r="81" spans="1:16" x14ac:dyDescent="0.25">
      <c r="A81" s="846"/>
      <c r="B81" s="846"/>
      <c r="C81" s="789"/>
      <c r="D81" s="789" t="s">
        <v>58</v>
      </c>
      <c r="E81" s="793" t="s">
        <v>183</v>
      </c>
      <c r="F81" s="789">
        <f t="shared" si="3"/>
        <v>72</v>
      </c>
      <c r="G81" s="799">
        <f>a.4.Centralizat!H104</f>
        <v>312596.68</v>
      </c>
      <c r="H81" s="799">
        <f>a.4.Centralizat!I104</f>
        <v>50641.67</v>
      </c>
      <c r="I81" s="799">
        <f>a.4.Centralizat!J104</f>
        <v>60641.67</v>
      </c>
      <c r="J81" s="799">
        <f>a.4.Centralizat!K104</f>
        <v>100656.67</v>
      </c>
      <c r="K81" s="799">
        <f>a.4.Centralizat!L104</f>
        <v>100656.67</v>
      </c>
      <c r="L81" s="799">
        <f>a.4.Centralizat!O104</f>
        <v>84423</v>
      </c>
      <c r="M81" s="799">
        <v>180179.9395264</v>
      </c>
      <c r="N81" s="799">
        <v>312596.68</v>
      </c>
      <c r="O81" s="797">
        <f t="shared" si="2"/>
        <v>0</v>
      </c>
      <c r="P81" s="798"/>
    </row>
    <row r="82" spans="1:16" ht="30" x14ac:dyDescent="0.25">
      <c r="A82" s="846"/>
      <c r="B82" s="846"/>
      <c r="C82" s="789"/>
      <c r="D82" s="789" t="s">
        <v>59</v>
      </c>
      <c r="E82" s="802" t="s">
        <v>184</v>
      </c>
      <c r="F82" s="789">
        <f t="shared" si="3"/>
        <v>73</v>
      </c>
      <c r="G82" s="799">
        <f>a.4.Centralizat!H105</f>
        <v>0</v>
      </c>
      <c r="H82" s="799">
        <f>a.4.Centralizat!I105</f>
        <v>0</v>
      </c>
      <c r="I82" s="799">
        <f>a.4.Centralizat!J105</f>
        <v>0</v>
      </c>
      <c r="J82" s="799">
        <f>a.4.Centralizat!K105</f>
        <v>0</v>
      </c>
      <c r="K82" s="799">
        <f>a.4.Centralizat!L105</f>
        <v>0</v>
      </c>
      <c r="L82" s="799">
        <f>a.4.Centralizat!O105</f>
        <v>0</v>
      </c>
      <c r="M82" s="799">
        <v>113000</v>
      </c>
      <c r="N82" s="799">
        <v>0</v>
      </c>
      <c r="O82" s="797">
        <f t="shared" si="2"/>
        <v>0</v>
      </c>
      <c r="P82" s="798"/>
    </row>
    <row r="83" spans="1:16" x14ac:dyDescent="0.25">
      <c r="A83" s="846"/>
      <c r="B83" s="846"/>
      <c r="C83" s="789"/>
      <c r="D83" s="789"/>
      <c r="E83" s="793" t="s">
        <v>387</v>
      </c>
      <c r="F83" s="789">
        <f t="shared" si="3"/>
        <v>74</v>
      </c>
      <c r="G83" s="799">
        <f>a.4.Centralizat!H106</f>
        <v>0</v>
      </c>
      <c r="H83" s="799">
        <f>a.4.Centralizat!I106</f>
        <v>0</v>
      </c>
      <c r="I83" s="799">
        <f>a.4.Centralizat!J106</f>
        <v>0</v>
      </c>
      <c r="J83" s="799">
        <f>a.4.Centralizat!K106</f>
        <v>0</v>
      </c>
      <c r="K83" s="799">
        <f>a.4.Centralizat!L106</f>
        <v>0</v>
      </c>
      <c r="L83" s="799">
        <f>a.4.Centralizat!O106</f>
        <v>0</v>
      </c>
      <c r="M83" s="799">
        <v>90000</v>
      </c>
      <c r="N83" s="799">
        <v>0</v>
      </c>
      <c r="O83" s="797">
        <f t="shared" si="2"/>
        <v>0</v>
      </c>
      <c r="P83" s="798"/>
    </row>
    <row r="84" spans="1:16" x14ac:dyDescent="0.25">
      <c r="A84" s="846"/>
      <c r="B84" s="846"/>
      <c r="C84" s="789"/>
      <c r="D84" s="789" t="s">
        <v>60</v>
      </c>
      <c r="E84" s="793" t="s">
        <v>545</v>
      </c>
      <c r="F84" s="789">
        <f t="shared" si="3"/>
        <v>75</v>
      </c>
      <c r="G84" s="799">
        <f>a.4.Centralizat!H107</f>
        <v>511755.97</v>
      </c>
      <c r="H84" s="799">
        <f>a.4.Centralizat!I107</f>
        <v>141677.35999999999</v>
      </c>
      <c r="I84" s="799">
        <f>a.4.Centralizat!J107</f>
        <v>141448.76</v>
      </c>
      <c r="J84" s="799">
        <f>a.4.Centralizat!K107</f>
        <v>143814.85</v>
      </c>
      <c r="K84" s="799">
        <f>a.4.Centralizat!L107</f>
        <v>84815</v>
      </c>
      <c r="L84" s="799">
        <f>a.4.Centralizat!O107</f>
        <v>622690</v>
      </c>
      <c r="M84" s="799">
        <v>731808.97967760009</v>
      </c>
      <c r="N84" s="799">
        <v>511755.97</v>
      </c>
      <c r="O84" s="797">
        <f t="shared" si="2"/>
        <v>0</v>
      </c>
      <c r="P84" s="798"/>
    </row>
    <row r="85" spans="1:16" ht="60" x14ac:dyDescent="0.25">
      <c r="A85" s="846"/>
      <c r="B85" s="846"/>
      <c r="C85" s="789"/>
      <c r="D85" s="789" t="s">
        <v>61</v>
      </c>
      <c r="E85" s="802" t="s">
        <v>185</v>
      </c>
      <c r="F85" s="789">
        <f t="shared" si="3"/>
        <v>76</v>
      </c>
      <c r="G85" s="799">
        <f>a.4.Centralizat!H108</f>
        <v>0</v>
      </c>
      <c r="H85" s="799">
        <f>a.4.Centralizat!I108</f>
        <v>0</v>
      </c>
      <c r="I85" s="799">
        <f>a.4.Centralizat!J108</f>
        <v>0</v>
      </c>
      <c r="J85" s="799">
        <f>a.4.Centralizat!K108</f>
        <v>0</v>
      </c>
      <c r="K85" s="799">
        <f>a.4.Centralizat!L108</f>
        <v>0</v>
      </c>
      <c r="L85" s="799">
        <f>a.4.Centralizat!O108</f>
        <v>0</v>
      </c>
      <c r="M85" s="799">
        <v>100000</v>
      </c>
      <c r="N85" s="799">
        <v>0</v>
      </c>
      <c r="O85" s="797">
        <f t="shared" si="2"/>
        <v>0</v>
      </c>
      <c r="P85" s="798"/>
    </row>
    <row r="86" spans="1:16" ht="30" x14ac:dyDescent="0.25">
      <c r="A86" s="846"/>
      <c r="B86" s="846"/>
      <c r="C86" s="789"/>
      <c r="D86" s="789" t="s">
        <v>62</v>
      </c>
      <c r="E86" s="802" t="s">
        <v>186</v>
      </c>
      <c r="F86" s="789">
        <f t="shared" si="3"/>
        <v>77</v>
      </c>
      <c r="G86" s="799">
        <f>a.4.Centralizat!H109</f>
        <v>8000</v>
      </c>
      <c r="H86" s="799">
        <f>a.4.Centralizat!I109</f>
        <v>2000</v>
      </c>
      <c r="I86" s="799">
        <f>a.4.Centralizat!J109</f>
        <v>2000</v>
      </c>
      <c r="J86" s="799">
        <f>a.4.Centralizat!K109</f>
        <v>2000</v>
      </c>
      <c r="K86" s="799">
        <f>a.4.Centralizat!L109</f>
        <v>2000</v>
      </c>
      <c r="L86" s="799">
        <f>a.4.Centralizat!O109</f>
        <v>11250</v>
      </c>
      <c r="M86" s="799">
        <v>15000</v>
      </c>
      <c r="N86" s="799">
        <v>8000</v>
      </c>
      <c r="O86" s="797">
        <f t="shared" si="2"/>
        <v>0</v>
      </c>
      <c r="P86" s="798"/>
    </row>
    <row r="87" spans="1:16" x14ac:dyDescent="0.25">
      <c r="A87" s="846"/>
      <c r="B87" s="846"/>
      <c r="C87" s="789" t="s">
        <v>344</v>
      </c>
      <c r="D87" s="846" t="s">
        <v>149</v>
      </c>
      <c r="E87" s="846"/>
      <c r="F87" s="789">
        <f t="shared" si="3"/>
        <v>78</v>
      </c>
      <c r="G87" s="799">
        <f>a.4.Centralizat!H110</f>
        <v>4132197.19</v>
      </c>
      <c r="H87" s="799">
        <f>a.4.Centralizat!I110</f>
        <v>771877.39</v>
      </c>
      <c r="I87" s="799">
        <f>a.4.Centralizat!J110</f>
        <v>916323.98</v>
      </c>
      <c r="J87" s="799">
        <f>a.4.Centralizat!K110</f>
        <v>1250269.82</v>
      </c>
      <c r="K87" s="799">
        <f>a.4.Centralizat!L110</f>
        <v>1193726</v>
      </c>
      <c r="L87" s="799">
        <f>a.4.Centralizat!O110</f>
        <v>3344629</v>
      </c>
      <c r="M87" s="799">
        <v>3315481.6007335996</v>
      </c>
      <c r="N87" s="799">
        <v>3817197.19</v>
      </c>
      <c r="O87" s="797">
        <f t="shared" si="2"/>
        <v>315000</v>
      </c>
      <c r="P87" s="798"/>
    </row>
    <row r="88" spans="1:16" ht="29.25" customHeight="1" x14ac:dyDescent="0.25">
      <c r="A88" s="846"/>
      <c r="B88" s="846"/>
      <c r="C88" s="850" t="s">
        <v>468</v>
      </c>
      <c r="D88" s="850"/>
      <c r="E88" s="850"/>
      <c r="F88" s="789">
        <f t="shared" si="3"/>
        <v>79</v>
      </c>
      <c r="G88" s="796">
        <f>a.4.Centralizat!H115</f>
        <v>13805724.49</v>
      </c>
      <c r="H88" s="796">
        <f>a.4.Centralizat!I115</f>
        <v>2056887.04</v>
      </c>
      <c r="I88" s="796">
        <f>a.4.Centralizat!J115</f>
        <v>2068709.26</v>
      </c>
      <c r="J88" s="796">
        <f>a.4.Centralizat!K115</f>
        <v>4844509.53</v>
      </c>
      <c r="K88" s="796">
        <f>a.4.Centralizat!L115</f>
        <v>4835618.66</v>
      </c>
      <c r="L88" s="796">
        <f>a.4.Centralizat!O115</f>
        <v>7611587</v>
      </c>
      <c r="M88" s="796">
        <v>8857357.4429902006</v>
      </c>
      <c r="N88" s="796">
        <v>8441557.4900000002</v>
      </c>
      <c r="O88" s="797">
        <f t="shared" si="2"/>
        <v>5364167</v>
      </c>
      <c r="P88" s="798"/>
    </row>
    <row r="89" spans="1:16" x14ac:dyDescent="0.25">
      <c r="A89" s="846"/>
      <c r="B89" s="846"/>
      <c r="C89" s="789" t="s">
        <v>27</v>
      </c>
      <c r="D89" s="851" t="s">
        <v>188</v>
      </c>
      <c r="E89" s="851"/>
      <c r="F89" s="789">
        <f t="shared" si="3"/>
        <v>80</v>
      </c>
      <c r="G89" s="799">
        <f>a.4.Centralizat!H116</f>
        <v>0</v>
      </c>
      <c r="H89" s="799">
        <f>a.4.Centralizat!I116</f>
        <v>0</v>
      </c>
      <c r="I89" s="799">
        <f>a.4.Centralizat!J116</f>
        <v>0</v>
      </c>
      <c r="J89" s="799">
        <f>a.4.Centralizat!K116</f>
        <v>0</v>
      </c>
      <c r="K89" s="799">
        <f>a.4.Centralizat!L116</f>
        <v>0</v>
      </c>
      <c r="L89" s="799">
        <f>a.4.Centralizat!O116</f>
        <v>0</v>
      </c>
      <c r="M89" s="799">
        <v>0</v>
      </c>
      <c r="N89" s="799">
        <v>0</v>
      </c>
      <c r="O89" s="797">
        <f t="shared" si="2"/>
        <v>0</v>
      </c>
      <c r="P89" s="798"/>
    </row>
    <row r="90" spans="1:16" x14ac:dyDescent="0.25">
      <c r="A90" s="846"/>
      <c r="B90" s="846"/>
      <c r="C90" s="789" t="s">
        <v>38</v>
      </c>
      <c r="D90" s="851" t="s">
        <v>388</v>
      </c>
      <c r="E90" s="851"/>
      <c r="F90" s="789">
        <f t="shared" si="3"/>
        <v>81</v>
      </c>
      <c r="G90" s="799">
        <f>a.4.Centralizat!H117</f>
        <v>10700000</v>
      </c>
      <c r="H90" s="799">
        <f>a.4.Centralizat!I117</f>
        <v>1330000</v>
      </c>
      <c r="I90" s="799">
        <f>a.4.Centralizat!J117</f>
        <v>1335833</v>
      </c>
      <c r="J90" s="799">
        <f>a.4.Centralizat!K117</f>
        <v>4035000</v>
      </c>
      <c r="K90" s="799">
        <f>a.4.Centralizat!L117</f>
        <v>3999167</v>
      </c>
      <c r="L90" s="799">
        <f>a.4.Centralizat!O117</f>
        <v>5326668</v>
      </c>
      <c r="M90" s="799">
        <v>6185354.4865260003</v>
      </c>
      <c r="N90" s="799">
        <v>5335833</v>
      </c>
      <c r="O90" s="797">
        <f t="shared" si="2"/>
        <v>5364167</v>
      </c>
      <c r="P90" s="798"/>
    </row>
    <row r="91" spans="1:16" x14ac:dyDescent="0.25">
      <c r="A91" s="846"/>
      <c r="B91" s="846"/>
      <c r="C91" s="789" t="s">
        <v>40</v>
      </c>
      <c r="D91" s="849" t="s">
        <v>41</v>
      </c>
      <c r="E91" s="849"/>
      <c r="F91" s="789">
        <f t="shared" si="3"/>
        <v>82</v>
      </c>
      <c r="G91" s="799">
        <f>a.4.Centralizat!H118</f>
        <v>40000</v>
      </c>
      <c r="H91" s="799">
        <f>a.4.Centralizat!I118</f>
        <v>10000</v>
      </c>
      <c r="I91" s="799">
        <f>a.4.Centralizat!J118</f>
        <v>10000</v>
      </c>
      <c r="J91" s="799">
        <f>a.4.Centralizat!K118</f>
        <v>10000</v>
      </c>
      <c r="K91" s="799">
        <f>a.4.Centralizat!L118</f>
        <v>10000</v>
      </c>
      <c r="L91" s="799">
        <f>a.4.Centralizat!O118</f>
        <v>24450</v>
      </c>
      <c r="M91" s="799">
        <v>25000</v>
      </c>
      <c r="N91" s="799">
        <v>40000</v>
      </c>
      <c r="O91" s="797">
        <f t="shared" si="2"/>
        <v>0</v>
      </c>
      <c r="P91" s="798"/>
    </row>
    <row r="92" spans="1:16" x14ac:dyDescent="0.25">
      <c r="A92" s="846"/>
      <c r="B92" s="846"/>
      <c r="C92" s="789" t="s">
        <v>42</v>
      </c>
      <c r="D92" s="849" t="s">
        <v>43</v>
      </c>
      <c r="E92" s="849"/>
      <c r="F92" s="789">
        <f t="shared" si="3"/>
        <v>83</v>
      </c>
      <c r="G92" s="799">
        <f>a.4.Centralizat!H119</f>
        <v>83317.38</v>
      </c>
      <c r="H92" s="799">
        <f>a.4.Centralizat!I119</f>
        <v>21392.38</v>
      </c>
      <c r="I92" s="799">
        <f>a.4.Centralizat!J119</f>
        <v>19225</v>
      </c>
      <c r="J92" s="799">
        <f>a.4.Centralizat!K119</f>
        <v>20575</v>
      </c>
      <c r="K92" s="799">
        <f>a.4.Centralizat!L119</f>
        <v>22125</v>
      </c>
      <c r="L92" s="799">
        <f>a.4.Centralizat!O119</f>
        <v>81473</v>
      </c>
      <c r="M92" s="799">
        <v>123655.5930048</v>
      </c>
      <c r="N92" s="799">
        <v>83317.38</v>
      </c>
      <c r="O92" s="797">
        <f t="shared" si="2"/>
        <v>0</v>
      </c>
      <c r="P92" s="798"/>
    </row>
    <row r="93" spans="1:16" x14ac:dyDescent="0.25">
      <c r="A93" s="846"/>
      <c r="B93" s="846"/>
      <c r="C93" s="789" t="s">
        <v>28</v>
      </c>
      <c r="D93" s="849" t="s">
        <v>44</v>
      </c>
      <c r="E93" s="849"/>
      <c r="F93" s="789">
        <f t="shared" si="3"/>
        <v>84</v>
      </c>
      <c r="G93" s="799">
        <f>a.4.Centralizat!H120</f>
        <v>6000</v>
      </c>
      <c r="H93" s="799">
        <f>a.4.Centralizat!I120</f>
        <v>2000</v>
      </c>
      <c r="I93" s="799">
        <f>a.4.Centralizat!J120</f>
        <v>1000</v>
      </c>
      <c r="J93" s="799">
        <f>a.4.Centralizat!K120</f>
        <v>1000</v>
      </c>
      <c r="K93" s="799">
        <f>a.4.Centralizat!L120</f>
        <v>2000</v>
      </c>
      <c r="L93" s="799">
        <f>a.4.Centralizat!O120</f>
        <v>750</v>
      </c>
      <c r="M93" s="799">
        <v>5000</v>
      </c>
      <c r="N93" s="799">
        <v>6000</v>
      </c>
      <c r="O93" s="797">
        <f t="shared" si="2"/>
        <v>0</v>
      </c>
      <c r="P93" s="798"/>
    </row>
    <row r="94" spans="1:16" x14ac:dyDescent="0.25">
      <c r="A94" s="846"/>
      <c r="B94" s="846"/>
      <c r="C94" s="789" t="s">
        <v>34</v>
      </c>
      <c r="D94" s="849" t="s">
        <v>45</v>
      </c>
      <c r="E94" s="849"/>
      <c r="F94" s="789">
        <f t="shared" si="3"/>
        <v>85</v>
      </c>
      <c r="G94" s="799">
        <f>a.4.Centralizat!H121</f>
        <v>2976407.11</v>
      </c>
      <c r="H94" s="799">
        <f>a.4.Centralizat!I121</f>
        <v>693494.66</v>
      </c>
      <c r="I94" s="799">
        <f>a.4.Centralizat!J121</f>
        <v>702651.26</v>
      </c>
      <c r="J94" s="799">
        <f>a.4.Centralizat!K121</f>
        <v>777934.53</v>
      </c>
      <c r="K94" s="799">
        <f>a.4.Centralizat!L121</f>
        <v>802326.66</v>
      </c>
      <c r="L94" s="799">
        <f>a.4.Centralizat!O121</f>
        <v>2178246</v>
      </c>
      <c r="M94" s="799">
        <v>2518347.3634593999</v>
      </c>
      <c r="N94" s="799">
        <v>2976407.11</v>
      </c>
      <c r="O94" s="797">
        <f t="shared" si="2"/>
        <v>0</v>
      </c>
      <c r="P94" s="798"/>
    </row>
    <row r="95" spans="1:16" ht="21" customHeight="1" x14ac:dyDescent="0.25">
      <c r="A95" s="846"/>
      <c r="B95" s="846"/>
      <c r="C95" s="850" t="s">
        <v>474</v>
      </c>
      <c r="D95" s="850"/>
      <c r="E95" s="850"/>
      <c r="F95" s="789">
        <f t="shared" si="3"/>
        <v>86</v>
      </c>
      <c r="G95" s="803">
        <f>a.4.Centralizat!H131</f>
        <v>46664439.328879997</v>
      </c>
      <c r="H95" s="803">
        <f>a.4.Centralizat!I131</f>
        <v>9915835.8945199978</v>
      </c>
      <c r="I95" s="803">
        <f>a.4.Centralizat!J131</f>
        <v>14137747.13534</v>
      </c>
      <c r="J95" s="803">
        <f>a.4.Centralizat!K131</f>
        <v>10649609.98608</v>
      </c>
      <c r="K95" s="803">
        <f>a.4.Centralizat!L131</f>
        <v>11961246.31294</v>
      </c>
      <c r="L95" s="803">
        <f>a.4.Centralizat!O131</f>
        <v>44830120.634520002</v>
      </c>
      <c r="M95" s="803">
        <v>45930056.912022002</v>
      </c>
      <c r="N95" s="803">
        <v>46664439.328879997</v>
      </c>
      <c r="O95" s="797">
        <f t="shared" si="2"/>
        <v>0</v>
      </c>
      <c r="P95" s="798"/>
    </row>
    <row r="96" spans="1:16" x14ac:dyDescent="0.25">
      <c r="A96" s="846"/>
      <c r="B96" s="846"/>
      <c r="C96" s="804" t="s">
        <v>396</v>
      </c>
      <c r="D96" s="852" t="s">
        <v>413</v>
      </c>
      <c r="E96" s="852"/>
      <c r="F96" s="789">
        <f t="shared" si="3"/>
        <v>87</v>
      </c>
      <c r="G96" s="796">
        <f>a.4.Centralizat!H132</f>
        <v>37486212</v>
      </c>
      <c r="H96" s="796">
        <f>a.4.Centralizat!I132</f>
        <v>7944947</v>
      </c>
      <c r="I96" s="796">
        <f>a.4.Centralizat!J132</f>
        <v>11369711</v>
      </c>
      <c r="J96" s="796">
        <f>a.4.Centralizat!K132</f>
        <v>8533784</v>
      </c>
      <c r="K96" s="796">
        <f>a.4.Centralizat!L132</f>
        <v>9637770</v>
      </c>
      <c r="L96" s="796">
        <f>a.4.Centralizat!O132</f>
        <v>35335886</v>
      </c>
      <c r="M96" s="796">
        <v>35737223.402800001</v>
      </c>
      <c r="N96" s="796">
        <v>37486212</v>
      </c>
      <c r="O96" s="797">
        <f t="shared" si="2"/>
        <v>0</v>
      </c>
      <c r="P96" s="798"/>
    </row>
    <row r="97" spans="1:16" x14ac:dyDescent="0.25">
      <c r="A97" s="846"/>
      <c r="B97" s="846"/>
      <c r="C97" s="789" t="s">
        <v>46</v>
      </c>
      <c r="D97" s="850" t="s">
        <v>189</v>
      </c>
      <c r="E97" s="850"/>
      <c r="F97" s="789">
        <f t="shared" si="3"/>
        <v>88</v>
      </c>
      <c r="G97" s="796">
        <f>a.4.Centralizat!H133</f>
        <v>32620337</v>
      </c>
      <c r="H97" s="796">
        <f>a.4.Centralizat!I133</f>
        <v>7454673</v>
      </c>
      <c r="I97" s="796">
        <f>a.4.Centralizat!J133</f>
        <v>8091136</v>
      </c>
      <c r="J97" s="796">
        <f>a.4.Centralizat!K133</f>
        <v>8068127</v>
      </c>
      <c r="K97" s="796">
        <f>a.4.Centralizat!L133</f>
        <v>9006401</v>
      </c>
      <c r="L97" s="796">
        <f>a.4.Centralizat!O133</f>
        <v>30813978</v>
      </c>
      <c r="M97" s="796">
        <v>30821399.634</v>
      </c>
      <c r="N97" s="796">
        <v>32620337</v>
      </c>
      <c r="O97" s="797">
        <f t="shared" si="2"/>
        <v>0</v>
      </c>
      <c r="P97" s="798"/>
    </row>
    <row r="98" spans="1:16" x14ac:dyDescent="0.25">
      <c r="A98" s="846"/>
      <c r="B98" s="846"/>
      <c r="C98" s="846"/>
      <c r="D98" s="849" t="s">
        <v>190</v>
      </c>
      <c r="E98" s="849"/>
      <c r="F98" s="789">
        <f t="shared" si="3"/>
        <v>89</v>
      </c>
      <c r="G98" s="799">
        <f>a.4.Centralizat!H134</f>
        <v>28053832</v>
      </c>
      <c r="H98" s="799">
        <f>a.4.Centralizat!I134</f>
        <v>6883540</v>
      </c>
      <c r="I98" s="799">
        <f>a.4.Centralizat!J134</f>
        <v>6953490</v>
      </c>
      <c r="J98" s="799">
        <f>a.4.Centralizat!K134</f>
        <v>7006950</v>
      </c>
      <c r="K98" s="799">
        <f>a.4.Centralizat!L134</f>
        <v>7209852</v>
      </c>
      <c r="L98" s="799">
        <f>a.4.Centralizat!O134</f>
        <v>25159266</v>
      </c>
      <c r="M98" s="799">
        <v>26657445.100000001</v>
      </c>
      <c r="N98" s="799">
        <v>28053832</v>
      </c>
      <c r="O98" s="797">
        <f t="shared" si="2"/>
        <v>0</v>
      </c>
      <c r="P98" s="798"/>
    </row>
    <row r="99" spans="1:16" x14ac:dyDescent="0.25">
      <c r="A99" s="846"/>
      <c r="B99" s="846"/>
      <c r="C99" s="846"/>
      <c r="D99" s="851" t="s">
        <v>191</v>
      </c>
      <c r="E99" s="851"/>
      <c r="F99" s="789">
        <f t="shared" si="3"/>
        <v>90</v>
      </c>
      <c r="G99" s="799">
        <f>a.4.Centralizat!H135</f>
        <v>1438572</v>
      </c>
      <c r="H99" s="799">
        <f>a.4.Centralizat!I135</f>
        <v>352762</v>
      </c>
      <c r="I99" s="799">
        <f>a.4.Centralizat!J135</f>
        <v>356846</v>
      </c>
      <c r="J99" s="799">
        <f>a.4.Centralizat!K135</f>
        <v>359382</v>
      </c>
      <c r="K99" s="799">
        <f>a.4.Centralizat!L135</f>
        <v>369582</v>
      </c>
      <c r="L99" s="799">
        <f>a.4.Centralizat!O135</f>
        <v>1294545</v>
      </c>
      <c r="M99" s="799">
        <v>1383312.6539999999</v>
      </c>
      <c r="N99" s="799">
        <v>1438572</v>
      </c>
      <c r="O99" s="797">
        <f t="shared" si="2"/>
        <v>0</v>
      </c>
      <c r="P99" s="798"/>
    </row>
    <row r="100" spans="1:16" x14ac:dyDescent="0.25">
      <c r="A100" s="846"/>
      <c r="B100" s="846"/>
      <c r="C100" s="846"/>
      <c r="D100" s="849" t="s">
        <v>192</v>
      </c>
      <c r="E100" s="849"/>
      <c r="F100" s="789">
        <f t="shared" si="3"/>
        <v>91</v>
      </c>
      <c r="G100" s="799">
        <f>a.4.Centralizat!H136</f>
        <v>3127933</v>
      </c>
      <c r="H100" s="799">
        <f>a.4.Centralizat!I136</f>
        <v>218371</v>
      </c>
      <c r="I100" s="799">
        <f>a.4.Centralizat!J136</f>
        <v>780800</v>
      </c>
      <c r="J100" s="799">
        <f>a.4.Centralizat!K136</f>
        <v>701795</v>
      </c>
      <c r="K100" s="799">
        <f>a.4.Centralizat!L136</f>
        <v>1426967</v>
      </c>
      <c r="L100" s="799">
        <f>a.4.Centralizat!O136</f>
        <v>4360167</v>
      </c>
      <c r="M100" s="799">
        <v>2780641.88</v>
      </c>
      <c r="N100" s="799">
        <v>3127933</v>
      </c>
      <c r="O100" s="797">
        <f t="shared" si="2"/>
        <v>0</v>
      </c>
      <c r="P100" s="798"/>
    </row>
    <row r="101" spans="1:16" x14ac:dyDescent="0.25">
      <c r="A101" s="846"/>
      <c r="B101" s="846"/>
      <c r="C101" s="789" t="s">
        <v>67</v>
      </c>
      <c r="D101" s="850" t="s">
        <v>389</v>
      </c>
      <c r="E101" s="850"/>
      <c r="F101" s="789">
        <f t="shared" si="3"/>
        <v>92</v>
      </c>
      <c r="G101" s="796">
        <f>a.4.Centralizat!H137</f>
        <v>4865875</v>
      </c>
      <c r="H101" s="796">
        <f>a.4.Centralizat!I137</f>
        <v>490274</v>
      </c>
      <c r="I101" s="796">
        <f>a.4.Centralizat!J137</f>
        <v>3278575</v>
      </c>
      <c r="J101" s="796">
        <f>a.4.Centralizat!K137</f>
        <v>465657</v>
      </c>
      <c r="K101" s="796">
        <f>a.4.Centralizat!L137</f>
        <v>631369</v>
      </c>
      <c r="L101" s="796">
        <f>a.4.Centralizat!O137</f>
        <v>4521908</v>
      </c>
      <c r="M101" s="796">
        <v>4915823.7687999997</v>
      </c>
      <c r="N101" s="796">
        <v>4865875</v>
      </c>
      <c r="O101" s="797">
        <f t="shared" si="2"/>
        <v>0</v>
      </c>
      <c r="P101" s="798"/>
    </row>
    <row r="102" spans="1:16" x14ac:dyDescent="0.25">
      <c r="A102" s="846"/>
      <c r="B102" s="846"/>
      <c r="C102" s="789"/>
      <c r="D102" s="848" t="s">
        <v>187</v>
      </c>
      <c r="E102" s="848"/>
      <c r="F102" s="789">
        <f t="shared" si="3"/>
        <v>93</v>
      </c>
      <c r="G102" s="799">
        <f>a.4.Centralizat!H138</f>
        <v>604900</v>
      </c>
      <c r="H102" s="799">
        <f>a.4.Centralizat!I138</f>
        <v>41100</v>
      </c>
      <c r="I102" s="799">
        <f>a.4.Centralizat!J138</f>
        <v>425000</v>
      </c>
      <c r="J102" s="799">
        <f>a.4.Centralizat!K138</f>
        <v>69900</v>
      </c>
      <c r="K102" s="799">
        <f>a.4.Centralizat!L138</f>
        <v>68900</v>
      </c>
      <c r="L102" s="799">
        <f>a.4.Centralizat!O138</f>
        <v>622136</v>
      </c>
      <c r="M102" s="799">
        <v>609002.71879999992</v>
      </c>
      <c r="N102" s="799">
        <v>604900</v>
      </c>
      <c r="O102" s="797">
        <f t="shared" si="2"/>
        <v>0</v>
      </c>
      <c r="P102" s="798"/>
    </row>
    <row r="103" spans="1:16" ht="30" x14ac:dyDescent="0.25">
      <c r="A103" s="846"/>
      <c r="B103" s="846"/>
      <c r="C103" s="789"/>
      <c r="D103" s="789"/>
      <c r="E103" s="802" t="s">
        <v>193</v>
      </c>
      <c r="F103" s="789">
        <f t="shared" si="3"/>
        <v>94</v>
      </c>
      <c r="G103" s="799">
        <f>a.4.Centralizat!H139</f>
        <v>0</v>
      </c>
      <c r="H103" s="799">
        <f>a.4.Centralizat!I139</f>
        <v>0</v>
      </c>
      <c r="I103" s="799">
        <f>a.4.Centralizat!J139</f>
        <v>0</v>
      </c>
      <c r="J103" s="799">
        <f>a.4.Centralizat!K139</f>
        <v>0</v>
      </c>
      <c r="K103" s="799">
        <f>a.4.Centralizat!L139</f>
        <v>0</v>
      </c>
      <c r="L103" s="799">
        <f>a.4.Centralizat!O139</f>
        <v>0</v>
      </c>
      <c r="M103" s="799">
        <v>0</v>
      </c>
      <c r="N103" s="799">
        <v>0</v>
      </c>
      <c r="O103" s="797">
        <f t="shared" si="2"/>
        <v>0</v>
      </c>
      <c r="P103" s="798"/>
    </row>
    <row r="104" spans="1:16" ht="45" x14ac:dyDescent="0.25">
      <c r="A104" s="846"/>
      <c r="B104" s="846"/>
      <c r="C104" s="789"/>
      <c r="D104" s="789"/>
      <c r="E104" s="802" t="s">
        <v>194</v>
      </c>
      <c r="F104" s="789">
        <f t="shared" si="3"/>
        <v>95</v>
      </c>
      <c r="G104" s="799">
        <f>a.4.Centralizat!H140</f>
        <v>378400</v>
      </c>
      <c r="H104" s="799">
        <f>a.4.Centralizat!I140</f>
        <v>0</v>
      </c>
      <c r="I104" s="799">
        <f>a.4.Centralizat!J140</f>
        <v>378400</v>
      </c>
      <c r="J104" s="799">
        <f>a.4.Centralizat!K140</f>
        <v>0</v>
      </c>
      <c r="K104" s="799">
        <f>a.4.Centralizat!L140</f>
        <v>0</v>
      </c>
      <c r="L104" s="799">
        <f>a.4.Centralizat!O140</f>
        <v>361460</v>
      </c>
      <c r="M104" s="799">
        <v>414350</v>
      </c>
      <c r="N104" s="799">
        <v>378400</v>
      </c>
      <c r="O104" s="797">
        <f t="shared" si="2"/>
        <v>0</v>
      </c>
      <c r="P104" s="798"/>
    </row>
    <row r="105" spans="1:16" x14ac:dyDescent="0.25">
      <c r="A105" s="846"/>
      <c r="B105" s="846"/>
      <c r="C105" s="789"/>
      <c r="D105" s="849" t="s">
        <v>74</v>
      </c>
      <c r="E105" s="849"/>
      <c r="F105" s="789">
        <f t="shared" si="3"/>
        <v>96</v>
      </c>
      <c r="G105" s="799">
        <f>a.4.Centralizat!H141</f>
        <v>1960975</v>
      </c>
      <c r="H105" s="799">
        <f>a.4.Centralizat!I141</f>
        <v>449174</v>
      </c>
      <c r="I105" s="799">
        <f>a.4.Centralizat!J141</f>
        <v>553575</v>
      </c>
      <c r="J105" s="799">
        <f>a.4.Centralizat!K141</f>
        <v>395757</v>
      </c>
      <c r="K105" s="799">
        <f>a.4.Centralizat!L141</f>
        <v>562469</v>
      </c>
      <c r="L105" s="799">
        <f>a.4.Centralizat!O141</f>
        <v>1799772</v>
      </c>
      <c r="M105" s="799">
        <v>2006821.0499999998</v>
      </c>
      <c r="N105" s="799">
        <v>1960975</v>
      </c>
      <c r="O105" s="797">
        <f t="shared" si="2"/>
        <v>0</v>
      </c>
      <c r="P105" s="798"/>
    </row>
    <row r="106" spans="1:16" x14ac:dyDescent="0.25">
      <c r="A106" s="846"/>
      <c r="B106" s="846"/>
      <c r="C106" s="789"/>
      <c r="D106" s="849" t="s">
        <v>195</v>
      </c>
      <c r="E106" s="849"/>
      <c r="F106" s="789">
        <f t="shared" si="3"/>
        <v>97</v>
      </c>
      <c r="G106" s="799">
        <f>a.4.Centralizat!H142</f>
        <v>0</v>
      </c>
      <c r="H106" s="799">
        <f>a.4.Centralizat!I142</f>
        <v>0</v>
      </c>
      <c r="I106" s="799">
        <f>a.4.Centralizat!J142</f>
        <v>0</v>
      </c>
      <c r="J106" s="799">
        <f>a.4.Centralizat!K142</f>
        <v>0</v>
      </c>
      <c r="K106" s="799">
        <f>a.4.Centralizat!L142</f>
        <v>0</v>
      </c>
      <c r="L106" s="799">
        <f>a.4.Centralizat!O142</f>
        <v>0</v>
      </c>
      <c r="M106" s="799">
        <v>0</v>
      </c>
      <c r="N106" s="799">
        <v>0</v>
      </c>
      <c r="O106" s="797">
        <f t="shared" si="2"/>
        <v>0</v>
      </c>
      <c r="P106" s="798"/>
    </row>
    <row r="107" spans="1:16" ht="30" customHeight="1" x14ac:dyDescent="0.25">
      <c r="A107" s="846"/>
      <c r="B107" s="846"/>
      <c r="C107" s="789"/>
      <c r="D107" s="848" t="s">
        <v>390</v>
      </c>
      <c r="E107" s="848"/>
      <c r="F107" s="789">
        <f t="shared" si="3"/>
        <v>98</v>
      </c>
      <c r="G107" s="799">
        <f>a.4.Centralizat!H143</f>
        <v>2300000</v>
      </c>
      <c r="H107" s="799">
        <f>a.4.Centralizat!I143</f>
        <v>0</v>
      </c>
      <c r="I107" s="799">
        <f>a.4.Centralizat!J143</f>
        <v>2300000</v>
      </c>
      <c r="J107" s="799">
        <f>a.4.Centralizat!K143</f>
        <v>0</v>
      </c>
      <c r="K107" s="799">
        <f>a.4.Centralizat!L143</f>
        <v>0</v>
      </c>
      <c r="L107" s="799">
        <f>a.4.Centralizat!O143</f>
        <v>2100000</v>
      </c>
      <c r="M107" s="799">
        <v>2300000</v>
      </c>
      <c r="N107" s="799">
        <v>2300000</v>
      </c>
      <c r="O107" s="797">
        <f t="shared" si="2"/>
        <v>0</v>
      </c>
      <c r="P107" s="798"/>
    </row>
    <row r="108" spans="1:16" x14ac:dyDescent="0.25">
      <c r="A108" s="846"/>
      <c r="B108" s="846"/>
      <c r="C108" s="789"/>
      <c r="D108" s="849" t="s">
        <v>196</v>
      </c>
      <c r="E108" s="849"/>
      <c r="F108" s="789">
        <f t="shared" si="3"/>
        <v>99</v>
      </c>
      <c r="G108" s="799">
        <f>a.4.Centralizat!H144</f>
        <v>0</v>
      </c>
      <c r="H108" s="799">
        <f>a.4.Centralizat!I144</f>
        <v>0</v>
      </c>
      <c r="I108" s="799">
        <f>a.4.Centralizat!J144</f>
        <v>0</v>
      </c>
      <c r="J108" s="799">
        <f>a.4.Centralizat!K144</f>
        <v>0</v>
      </c>
      <c r="K108" s="799">
        <f>a.4.Centralizat!L144</f>
        <v>0</v>
      </c>
      <c r="L108" s="799">
        <f>a.4.Centralizat!O144</f>
        <v>0</v>
      </c>
      <c r="M108" s="799">
        <v>0</v>
      </c>
      <c r="N108" s="799">
        <v>0</v>
      </c>
      <c r="O108" s="797">
        <f t="shared" si="2"/>
        <v>0</v>
      </c>
      <c r="P108" s="798"/>
    </row>
    <row r="109" spans="1:16" x14ac:dyDescent="0.25">
      <c r="A109" s="846"/>
      <c r="B109" s="846"/>
      <c r="C109" s="789" t="s">
        <v>124</v>
      </c>
      <c r="D109" s="850" t="s">
        <v>197</v>
      </c>
      <c r="E109" s="850"/>
      <c r="F109" s="789">
        <f t="shared" si="3"/>
        <v>100</v>
      </c>
      <c r="G109" s="796">
        <f>a.4.Centralizat!H145</f>
        <v>0</v>
      </c>
      <c r="H109" s="796">
        <f>a.4.Centralizat!I145</f>
        <v>0</v>
      </c>
      <c r="I109" s="796">
        <f>a.4.Centralizat!J145</f>
        <v>0</v>
      </c>
      <c r="J109" s="796">
        <f>a.4.Centralizat!K145</f>
        <v>0</v>
      </c>
      <c r="K109" s="796">
        <f>a.4.Centralizat!L145</f>
        <v>0</v>
      </c>
      <c r="L109" s="796">
        <f>a.4.Centralizat!O145</f>
        <v>0</v>
      </c>
      <c r="M109" s="796">
        <v>0</v>
      </c>
      <c r="N109" s="796">
        <v>0</v>
      </c>
      <c r="O109" s="797">
        <f t="shared" si="2"/>
        <v>0</v>
      </c>
      <c r="P109" s="798"/>
    </row>
    <row r="110" spans="1:16" x14ac:dyDescent="0.25">
      <c r="A110" s="846"/>
      <c r="B110" s="846"/>
      <c r="C110" s="789"/>
      <c r="D110" s="851" t="s">
        <v>198</v>
      </c>
      <c r="E110" s="851"/>
      <c r="F110" s="789">
        <f t="shared" si="3"/>
        <v>101</v>
      </c>
      <c r="G110" s="799">
        <f>a.4.Centralizat!H146</f>
        <v>0</v>
      </c>
      <c r="H110" s="799">
        <f>a.4.Centralizat!I146</f>
        <v>0</v>
      </c>
      <c r="I110" s="799">
        <f>a.4.Centralizat!J146</f>
        <v>0</v>
      </c>
      <c r="J110" s="799">
        <f>a.4.Centralizat!K146</f>
        <v>0</v>
      </c>
      <c r="K110" s="799">
        <f>a.4.Centralizat!L146</f>
        <v>0</v>
      </c>
      <c r="L110" s="799">
        <f>a.4.Centralizat!O146</f>
        <v>0</v>
      </c>
      <c r="M110" s="799">
        <v>0</v>
      </c>
      <c r="N110" s="799">
        <v>0</v>
      </c>
      <c r="O110" s="797">
        <f t="shared" si="2"/>
        <v>0</v>
      </c>
      <c r="P110" s="798"/>
    </row>
    <row r="111" spans="1:16" x14ac:dyDescent="0.25">
      <c r="A111" s="846"/>
      <c r="B111" s="846"/>
      <c r="C111" s="789"/>
      <c r="D111" s="851" t="s">
        <v>199</v>
      </c>
      <c r="E111" s="851"/>
      <c r="F111" s="789">
        <f t="shared" si="3"/>
        <v>102</v>
      </c>
      <c r="G111" s="799">
        <f>a.4.Centralizat!H147</f>
        <v>0</v>
      </c>
      <c r="H111" s="799">
        <f>a.4.Centralizat!I147</f>
        <v>0</v>
      </c>
      <c r="I111" s="799">
        <f>a.4.Centralizat!J147</f>
        <v>0</v>
      </c>
      <c r="J111" s="799">
        <f>a.4.Centralizat!K147</f>
        <v>0</v>
      </c>
      <c r="K111" s="799">
        <f>a.4.Centralizat!L147</f>
        <v>0</v>
      </c>
      <c r="L111" s="799">
        <f>a.4.Centralizat!O147</f>
        <v>0</v>
      </c>
      <c r="M111" s="799">
        <v>0</v>
      </c>
      <c r="N111" s="799">
        <v>0</v>
      </c>
      <c r="O111" s="797">
        <f t="shared" si="2"/>
        <v>0</v>
      </c>
      <c r="P111" s="798"/>
    </row>
    <row r="112" spans="1:16" x14ac:dyDescent="0.25">
      <c r="A112" s="846"/>
      <c r="B112" s="846"/>
      <c r="C112" s="789"/>
      <c r="D112" s="851" t="s">
        <v>200</v>
      </c>
      <c r="E112" s="851"/>
      <c r="F112" s="789">
        <f t="shared" si="3"/>
        <v>103</v>
      </c>
      <c r="G112" s="799">
        <f>a.4.Centralizat!H148</f>
        <v>0</v>
      </c>
      <c r="H112" s="799">
        <f>a.4.Centralizat!I148</f>
        <v>0</v>
      </c>
      <c r="I112" s="799">
        <f>a.4.Centralizat!J148</f>
        <v>0</v>
      </c>
      <c r="J112" s="799">
        <f>a.4.Centralizat!K148</f>
        <v>0</v>
      </c>
      <c r="K112" s="799">
        <f>a.4.Centralizat!L148</f>
        <v>0</v>
      </c>
      <c r="L112" s="799">
        <f>a.4.Centralizat!O148</f>
        <v>0</v>
      </c>
      <c r="M112" s="799">
        <v>0</v>
      </c>
      <c r="N112" s="799">
        <v>0</v>
      </c>
      <c r="O112" s="797">
        <f t="shared" si="2"/>
        <v>0</v>
      </c>
      <c r="P112" s="798"/>
    </row>
    <row r="113" spans="1:16" ht="39" customHeight="1" x14ac:dyDescent="0.25">
      <c r="A113" s="846"/>
      <c r="B113" s="846"/>
      <c r="C113" s="789" t="s">
        <v>63</v>
      </c>
      <c r="D113" s="851" t="s">
        <v>75</v>
      </c>
      <c r="E113" s="851"/>
      <c r="F113" s="789">
        <f t="shared" si="3"/>
        <v>104</v>
      </c>
      <c r="G113" s="799">
        <f>a.4.Centralizat!H149</f>
        <v>686555</v>
      </c>
      <c r="H113" s="799">
        <f>a.4.Centralizat!I149</f>
        <v>155545</v>
      </c>
      <c r="I113" s="799">
        <f>a.4.Centralizat!J149</f>
        <v>233545</v>
      </c>
      <c r="J113" s="799">
        <f>a.4.Centralizat!K149</f>
        <v>155545</v>
      </c>
      <c r="K113" s="799">
        <f>a.4.Centralizat!L149</f>
        <v>141920</v>
      </c>
      <c r="L113" s="799">
        <f>a.4.Centralizat!O149</f>
        <v>557155</v>
      </c>
      <c r="M113" s="799">
        <v>667195</v>
      </c>
      <c r="N113" s="799">
        <v>686555</v>
      </c>
      <c r="O113" s="797">
        <f t="shared" si="2"/>
        <v>0</v>
      </c>
      <c r="P113" s="798"/>
    </row>
    <row r="114" spans="1:16" x14ac:dyDescent="0.25">
      <c r="A114" s="846"/>
      <c r="B114" s="846"/>
      <c r="C114" s="846"/>
      <c r="D114" s="846" t="s">
        <v>282</v>
      </c>
      <c r="E114" s="846"/>
      <c r="F114" s="789">
        <f t="shared" si="3"/>
        <v>105</v>
      </c>
      <c r="G114" s="799">
        <f>a.4.Centralizat!H150</f>
        <v>258000</v>
      </c>
      <c r="H114" s="799">
        <f>a.4.Centralizat!I150</f>
        <v>45000</v>
      </c>
      <c r="I114" s="799">
        <f>a.4.Centralizat!J150</f>
        <v>123000</v>
      </c>
      <c r="J114" s="799">
        <f>a.4.Centralizat!K150</f>
        <v>45000</v>
      </c>
      <c r="K114" s="799">
        <f>a.4.Centralizat!L150</f>
        <v>45000</v>
      </c>
      <c r="L114" s="799">
        <f>a.4.Centralizat!O150</f>
        <v>236072</v>
      </c>
      <c r="M114" s="799">
        <v>236500</v>
      </c>
      <c r="N114" s="799">
        <v>258000</v>
      </c>
      <c r="O114" s="797">
        <f t="shared" si="2"/>
        <v>0</v>
      </c>
      <c r="P114" s="798"/>
    </row>
    <row r="115" spans="1:16" x14ac:dyDescent="0.25">
      <c r="A115" s="846"/>
      <c r="B115" s="846"/>
      <c r="C115" s="846"/>
      <c r="D115" s="805"/>
      <c r="E115" s="806" t="s">
        <v>414</v>
      </c>
      <c r="F115" s="789">
        <f t="shared" si="3"/>
        <v>106</v>
      </c>
      <c r="G115" s="799">
        <f>a.4.Centralizat!H151</f>
        <v>78000</v>
      </c>
      <c r="H115" s="799">
        <f>a.4.Centralizat!I151</f>
        <v>19500</v>
      </c>
      <c r="I115" s="799">
        <f>a.4.Centralizat!J151</f>
        <v>19500</v>
      </c>
      <c r="J115" s="799">
        <f>a.4.Centralizat!K151</f>
        <v>19500</v>
      </c>
      <c r="K115" s="799">
        <f>a.4.Centralizat!L151</f>
        <v>19500</v>
      </c>
      <c r="L115" s="799">
        <f>a.4.Centralizat!O151</f>
        <v>236072</v>
      </c>
      <c r="M115" s="799">
        <v>79500</v>
      </c>
      <c r="N115" s="799">
        <v>78000</v>
      </c>
      <c r="O115" s="797">
        <f t="shared" si="2"/>
        <v>0</v>
      </c>
      <c r="P115" s="798"/>
    </row>
    <row r="116" spans="1:16" x14ac:dyDescent="0.25">
      <c r="A116" s="846"/>
      <c r="B116" s="846"/>
      <c r="C116" s="846"/>
      <c r="D116" s="805"/>
      <c r="E116" s="806" t="s">
        <v>415</v>
      </c>
      <c r="F116" s="789">
        <f t="shared" si="3"/>
        <v>107</v>
      </c>
      <c r="G116" s="799">
        <f>a.4.Centralizat!H152</f>
        <v>180000</v>
      </c>
      <c r="H116" s="799">
        <f>a.4.Centralizat!I152</f>
        <v>25500</v>
      </c>
      <c r="I116" s="799">
        <f>a.4.Centralizat!J152</f>
        <v>103500</v>
      </c>
      <c r="J116" s="799">
        <f>a.4.Centralizat!K152</f>
        <v>25500</v>
      </c>
      <c r="K116" s="799">
        <f>a.4.Centralizat!L152</f>
        <v>25500</v>
      </c>
      <c r="L116" s="799">
        <f>a.4.Centralizat!O152</f>
        <v>0</v>
      </c>
      <c r="M116" s="799">
        <v>157000</v>
      </c>
      <c r="N116" s="799">
        <v>180000</v>
      </c>
      <c r="O116" s="797">
        <f t="shared" si="2"/>
        <v>0</v>
      </c>
      <c r="P116" s="798"/>
    </row>
    <row r="117" spans="1:16" x14ac:dyDescent="0.25">
      <c r="A117" s="846"/>
      <c r="B117" s="846"/>
      <c r="C117" s="846"/>
      <c r="D117" s="848" t="s">
        <v>201</v>
      </c>
      <c r="E117" s="848"/>
      <c r="F117" s="789">
        <f t="shared" si="3"/>
        <v>108</v>
      </c>
      <c r="G117" s="799">
        <f>a.4.Centralizat!H153</f>
        <v>333180</v>
      </c>
      <c r="H117" s="799">
        <f>a.4.Centralizat!I153</f>
        <v>83295</v>
      </c>
      <c r="I117" s="799">
        <f>a.4.Centralizat!J153</f>
        <v>83295</v>
      </c>
      <c r="J117" s="799">
        <f>a.4.Centralizat!K153</f>
        <v>83295</v>
      </c>
      <c r="K117" s="799">
        <f>a.4.Centralizat!L153</f>
        <v>83295</v>
      </c>
      <c r="L117" s="799">
        <f>a.4.Centralizat!O153</f>
        <v>289458</v>
      </c>
      <c r="M117" s="799">
        <v>307095</v>
      </c>
      <c r="N117" s="799">
        <v>333180</v>
      </c>
      <c r="O117" s="797">
        <f t="shared" si="2"/>
        <v>0</v>
      </c>
      <c r="P117" s="798"/>
    </row>
    <row r="118" spans="1:16" x14ac:dyDescent="0.25">
      <c r="A118" s="846"/>
      <c r="B118" s="846"/>
      <c r="C118" s="846"/>
      <c r="D118" s="805"/>
      <c r="E118" s="806" t="s">
        <v>414</v>
      </c>
      <c r="F118" s="789">
        <f t="shared" si="3"/>
        <v>109</v>
      </c>
      <c r="G118" s="799">
        <f>a.4.Centralizat!H154</f>
        <v>265680</v>
      </c>
      <c r="H118" s="799">
        <f>a.4.Centralizat!I154</f>
        <v>66420</v>
      </c>
      <c r="I118" s="799">
        <f>a.4.Centralizat!J154</f>
        <v>66420</v>
      </c>
      <c r="J118" s="799">
        <f>a.4.Centralizat!K154</f>
        <v>66420</v>
      </c>
      <c r="K118" s="799">
        <f>a.4.Centralizat!L154</f>
        <v>66420</v>
      </c>
      <c r="L118" s="799">
        <f>a.4.Centralizat!O154</f>
        <v>289458</v>
      </c>
      <c r="M118" s="799">
        <v>243520</v>
      </c>
      <c r="N118" s="799">
        <v>265680</v>
      </c>
      <c r="O118" s="797">
        <f t="shared" si="2"/>
        <v>0</v>
      </c>
      <c r="P118" s="798"/>
    </row>
    <row r="119" spans="1:16" x14ac:dyDescent="0.25">
      <c r="A119" s="846"/>
      <c r="B119" s="846"/>
      <c r="C119" s="846"/>
      <c r="D119" s="805"/>
      <c r="E119" s="806" t="s">
        <v>415</v>
      </c>
      <c r="F119" s="789">
        <f t="shared" si="3"/>
        <v>110</v>
      </c>
      <c r="G119" s="799">
        <f>a.4.Centralizat!H155</f>
        <v>67500</v>
      </c>
      <c r="H119" s="799">
        <f>a.4.Centralizat!I155</f>
        <v>16875</v>
      </c>
      <c r="I119" s="799">
        <f>a.4.Centralizat!J155</f>
        <v>16875</v>
      </c>
      <c r="J119" s="799">
        <f>a.4.Centralizat!K155</f>
        <v>16875</v>
      </c>
      <c r="K119" s="799">
        <f>a.4.Centralizat!L155</f>
        <v>16875</v>
      </c>
      <c r="L119" s="799">
        <f>a.4.Centralizat!O155</f>
        <v>0</v>
      </c>
      <c r="M119" s="799">
        <v>63575</v>
      </c>
      <c r="N119" s="799">
        <v>67500</v>
      </c>
      <c r="O119" s="797">
        <f t="shared" si="2"/>
        <v>0</v>
      </c>
      <c r="P119" s="798"/>
    </row>
    <row r="120" spans="1:16" x14ac:dyDescent="0.25">
      <c r="A120" s="846"/>
      <c r="B120" s="846"/>
      <c r="C120" s="846"/>
      <c r="D120" s="846" t="s">
        <v>202</v>
      </c>
      <c r="E120" s="846"/>
      <c r="F120" s="789">
        <f t="shared" si="3"/>
        <v>111</v>
      </c>
      <c r="G120" s="799">
        <f>a.4.Centralizat!H156</f>
        <v>95375</v>
      </c>
      <c r="H120" s="799">
        <f>a.4.Centralizat!I156</f>
        <v>27250</v>
      </c>
      <c r="I120" s="799">
        <f>a.4.Centralizat!J156</f>
        <v>27250</v>
      </c>
      <c r="J120" s="799">
        <f>a.4.Centralizat!K156</f>
        <v>27250</v>
      </c>
      <c r="K120" s="799">
        <f>a.4.Centralizat!L156</f>
        <v>13625</v>
      </c>
      <c r="L120" s="799">
        <f>a.4.Centralizat!O156</f>
        <v>31625</v>
      </c>
      <c r="M120" s="799">
        <v>123600</v>
      </c>
      <c r="N120" s="799">
        <v>95375</v>
      </c>
      <c r="O120" s="797">
        <f t="shared" si="2"/>
        <v>0</v>
      </c>
      <c r="P120" s="798"/>
    </row>
    <row r="121" spans="1:16" x14ac:dyDescent="0.25">
      <c r="A121" s="846"/>
      <c r="B121" s="846"/>
      <c r="C121" s="789"/>
      <c r="D121" s="848" t="s">
        <v>203</v>
      </c>
      <c r="E121" s="848"/>
      <c r="F121" s="789">
        <f t="shared" si="3"/>
        <v>112</v>
      </c>
      <c r="G121" s="799">
        <f>a.4.Centralizat!H157</f>
        <v>0</v>
      </c>
      <c r="H121" s="799">
        <f>a.4.Centralizat!I157</f>
        <v>0</v>
      </c>
      <c r="I121" s="799">
        <f>a.4.Centralizat!J157</f>
        <v>0</v>
      </c>
      <c r="J121" s="799">
        <f>a.4.Centralizat!K157</f>
        <v>0</v>
      </c>
      <c r="K121" s="799">
        <f>a.4.Centralizat!L157</f>
        <v>0</v>
      </c>
      <c r="L121" s="799">
        <f>a.4.Centralizat!O157</f>
        <v>0</v>
      </c>
      <c r="M121" s="799">
        <v>0</v>
      </c>
      <c r="N121" s="799">
        <v>0</v>
      </c>
      <c r="O121" s="797">
        <f t="shared" si="2"/>
        <v>0</v>
      </c>
      <c r="P121" s="798"/>
    </row>
    <row r="122" spans="1:16" ht="23.25" customHeight="1" x14ac:dyDescent="0.25">
      <c r="A122" s="846"/>
      <c r="B122" s="846"/>
      <c r="C122" s="789" t="s">
        <v>68</v>
      </c>
      <c r="D122" s="848" t="s">
        <v>204</v>
      </c>
      <c r="E122" s="848"/>
      <c r="F122" s="789">
        <f t="shared" si="3"/>
        <v>113</v>
      </c>
      <c r="G122" s="799">
        <f>a.4.Centralizat!H158</f>
        <v>8491672.3288800009</v>
      </c>
      <c r="H122" s="799">
        <f>a.4.Centralizat!I158</f>
        <v>1815343.8945200001</v>
      </c>
      <c r="I122" s="799">
        <f>a.4.Centralizat!J158</f>
        <v>2534491.1353399991</v>
      </c>
      <c r="J122" s="799">
        <f>a.4.Centralizat!K158</f>
        <v>1960280.9860799999</v>
      </c>
      <c r="K122" s="799">
        <f>a.4.Centralizat!L158</f>
        <v>2181556.3129400001</v>
      </c>
      <c r="L122" s="799">
        <f>a.4.Centralizat!O158</f>
        <v>8937079.6345199998</v>
      </c>
      <c r="M122" s="799">
        <v>9525638.5092220008</v>
      </c>
      <c r="N122" s="799">
        <v>8491672.3288800009</v>
      </c>
      <c r="O122" s="797">
        <f t="shared" si="2"/>
        <v>0</v>
      </c>
      <c r="P122" s="798"/>
    </row>
    <row r="123" spans="1:16" x14ac:dyDescent="0.25">
      <c r="A123" s="846"/>
      <c r="B123" s="846"/>
      <c r="C123" s="849"/>
      <c r="D123" s="849" t="s">
        <v>205</v>
      </c>
      <c r="E123" s="849"/>
      <c r="F123" s="789">
        <f t="shared" si="3"/>
        <v>114</v>
      </c>
      <c r="G123" s="799">
        <f>a.4.Centralizat!H159</f>
        <v>6070403.6728800014</v>
      </c>
      <c r="H123" s="799">
        <f>a.4.Centralizat!I159</f>
        <v>1297849.0705200001</v>
      </c>
      <c r="I123" s="799">
        <f>a.4.Centralizat!J159</f>
        <v>1812012.8273399998</v>
      </c>
      <c r="J123" s="799">
        <f>a.4.Centralizat!K159</f>
        <v>1401071.2900799997</v>
      </c>
      <c r="K123" s="799">
        <f>a.4.Centralizat!L159</f>
        <v>1559470.4849400001</v>
      </c>
      <c r="L123" s="799">
        <f>a.4.Centralizat!O159</f>
        <v>6668942.01052</v>
      </c>
      <c r="M123" s="799">
        <v>7149034.7853100002</v>
      </c>
      <c r="N123" s="799">
        <v>6070403.6728800014</v>
      </c>
      <c r="O123" s="797">
        <f t="shared" si="2"/>
        <v>0</v>
      </c>
      <c r="P123" s="798"/>
    </row>
    <row r="124" spans="1:16" x14ac:dyDescent="0.25">
      <c r="A124" s="846"/>
      <c r="B124" s="846"/>
      <c r="C124" s="849"/>
      <c r="D124" s="849" t="s">
        <v>206</v>
      </c>
      <c r="E124" s="849"/>
      <c r="F124" s="789">
        <f t="shared" si="3"/>
        <v>115</v>
      </c>
      <c r="G124" s="799">
        <f>a.4.Centralizat!H160</f>
        <v>267051.68999999994</v>
      </c>
      <c r="H124" s="799">
        <f>a.4.Centralizat!I160</f>
        <v>57076.635000000002</v>
      </c>
      <c r="I124" s="799">
        <f>a.4.Centralizat!J160</f>
        <v>79685.107499999984</v>
      </c>
      <c r="J124" s="799">
        <f>a.4.Centralizat!K160</f>
        <v>61677.539999999994</v>
      </c>
      <c r="K124" s="799">
        <f>a.4.Centralizat!L160</f>
        <v>68612.407499999987</v>
      </c>
      <c r="L124" s="799">
        <f>a.4.Centralizat!O160</f>
        <v>243136.13500000001</v>
      </c>
      <c r="M124" s="799">
        <v>364898.60525500006</v>
      </c>
      <c r="N124" s="799">
        <v>267051.68999999994</v>
      </c>
      <c r="O124" s="797">
        <f t="shared" si="2"/>
        <v>0</v>
      </c>
      <c r="P124" s="798"/>
    </row>
    <row r="125" spans="1:16" x14ac:dyDescent="0.25">
      <c r="A125" s="846"/>
      <c r="B125" s="846"/>
      <c r="C125" s="849"/>
      <c r="D125" s="851" t="s">
        <v>207</v>
      </c>
      <c r="E125" s="851"/>
      <c r="F125" s="789">
        <f t="shared" si="3"/>
        <v>116</v>
      </c>
      <c r="G125" s="799">
        <f>a.4.Centralizat!H161</f>
        <v>2154216.9659999995</v>
      </c>
      <c r="H125" s="799">
        <f>a.4.Centralizat!I161</f>
        <v>460418.18900000001</v>
      </c>
      <c r="I125" s="799">
        <f>a.4.Centralizat!J161</f>
        <v>642793.20049999992</v>
      </c>
      <c r="J125" s="799">
        <f>a.4.Centralizat!K161</f>
        <v>497532.15599999996</v>
      </c>
      <c r="K125" s="799">
        <f>a.4.Centralizat!L161</f>
        <v>553473.42050000001</v>
      </c>
      <c r="L125" s="799">
        <f>a.4.Centralizat!O161</f>
        <v>2025001.4890000001</v>
      </c>
      <c r="M125" s="799">
        <v>2011705.1186570001</v>
      </c>
      <c r="N125" s="799">
        <v>2154216.9659999995</v>
      </c>
      <c r="O125" s="797">
        <f t="shared" si="2"/>
        <v>0</v>
      </c>
      <c r="P125" s="798"/>
    </row>
    <row r="126" spans="1:16" ht="24" customHeight="1" x14ac:dyDescent="0.25">
      <c r="A126" s="846"/>
      <c r="B126" s="846"/>
      <c r="C126" s="849"/>
      <c r="D126" s="851" t="s">
        <v>208</v>
      </c>
      <c r="E126" s="851"/>
      <c r="F126" s="789">
        <f t="shared" si="3"/>
        <v>117</v>
      </c>
      <c r="G126" s="799">
        <f>a.4.Centralizat!H162</f>
        <v>0</v>
      </c>
      <c r="H126" s="799">
        <f>a.4.Centralizat!I162</f>
        <v>0</v>
      </c>
      <c r="I126" s="799">
        <f>a.4.Centralizat!J162</f>
        <v>0</v>
      </c>
      <c r="J126" s="799">
        <f>a.4.Centralizat!K162</f>
        <v>0</v>
      </c>
      <c r="K126" s="799">
        <f>a.4.Centralizat!L162</f>
        <v>0</v>
      </c>
      <c r="L126" s="799">
        <f>a.4.Centralizat!O162</f>
        <v>0</v>
      </c>
      <c r="M126" s="799"/>
      <c r="N126" s="799">
        <v>0</v>
      </c>
      <c r="O126" s="797">
        <f t="shared" si="2"/>
        <v>0</v>
      </c>
      <c r="P126" s="798"/>
    </row>
    <row r="127" spans="1:16" x14ac:dyDescent="0.25">
      <c r="A127" s="846"/>
      <c r="B127" s="846"/>
      <c r="C127" s="849"/>
      <c r="D127" s="849" t="s">
        <v>209</v>
      </c>
      <c r="E127" s="849"/>
      <c r="F127" s="789">
        <f t="shared" si="3"/>
        <v>118</v>
      </c>
      <c r="G127" s="799">
        <f>a.4.Centralizat!H163</f>
        <v>0</v>
      </c>
      <c r="H127" s="799">
        <f>a.4.Centralizat!I163</f>
        <v>0</v>
      </c>
      <c r="I127" s="799">
        <f>a.4.Centralizat!J163</f>
        <v>0</v>
      </c>
      <c r="J127" s="799">
        <f>a.4.Centralizat!K163</f>
        <v>0</v>
      </c>
      <c r="K127" s="799">
        <f>a.4.Centralizat!L163</f>
        <v>0</v>
      </c>
      <c r="L127" s="799">
        <f>a.4.Centralizat!O163</f>
        <v>0</v>
      </c>
      <c r="M127" s="799"/>
      <c r="N127" s="799">
        <v>0</v>
      </c>
      <c r="O127" s="797">
        <f t="shared" si="2"/>
        <v>0</v>
      </c>
      <c r="P127" s="798"/>
    </row>
    <row r="128" spans="1:16" x14ac:dyDescent="0.25">
      <c r="A128" s="846"/>
      <c r="B128" s="846"/>
      <c r="C128" s="849"/>
      <c r="D128" s="849" t="s">
        <v>210</v>
      </c>
      <c r="E128" s="849"/>
      <c r="F128" s="789">
        <f t="shared" si="3"/>
        <v>119</v>
      </c>
      <c r="G128" s="799">
        <f>a.4.Centralizat!H164</f>
        <v>0</v>
      </c>
      <c r="H128" s="799">
        <f>a.4.Centralizat!I164</f>
        <v>0</v>
      </c>
      <c r="I128" s="799">
        <f>a.4.Centralizat!J164</f>
        <v>0</v>
      </c>
      <c r="J128" s="799">
        <f>a.4.Centralizat!K164</f>
        <v>0</v>
      </c>
      <c r="K128" s="799">
        <f>a.4.Centralizat!L164</f>
        <v>0</v>
      </c>
      <c r="L128" s="799">
        <f>a.4.Centralizat!O164</f>
        <v>0</v>
      </c>
      <c r="M128" s="799"/>
      <c r="N128" s="799">
        <v>0</v>
      </c>
      <c r="O128" s="797">
        <f t="shared" si="2"/>
        <v>0</v>
      </c>
      <c r="P128" s="798"/>
    </row>
    <row r="129" spans="1:16" x14ac:dyDescent="0.25">
      <c r="A129" s="846"/>
      <c r="B129" s="846"/>
      <c r="C129" s="851" t="s">
        <v>469</v>
      </c>
      <c r="D129" s="851"/>
      <c r="E129" s="851"/>
      <c r="F129" s="789">
        <f t="shared" si="3"/>
        <v>120</v>
      </c>
      <c r="G129" s="799">
        <f>a.4.Centralizat!H165</f>
        <v>9352603.6099999994</v>
      </c>
      <c r="H129" s="799">
        <f>a.4.Centralizat!I165</f>
        <v>1725092.4</v>
      </c>
      <c r="I129" s="799">
        <f>a.4.Centralizat!J165</f>
        <v>-474027.92</v>
      </c>
      <c r="J129" s="799">
        <f>a.4.Centralizat!K165</f>
        <v>1852529.13</v>
      </c>
      <c r="K129" s="799">
        <f>a.4.Centralizat!L165</f>
        <v>6249010</v>
      </c>
      <c r="L129" s="799">
        <f>a.4.Centralizat!O165</f>
        <v>11060724</v>
      </c>
      <c r="M129" s="799">
        <v>13228330.763439998</v>
      </c>
      <c r="N129" s="799">
        <v>9352603.6099999994</v>
      </c>
      <c r="O129" s="797">
        <f t="shared" si="2"/>
        <v>0</v>
      </c>
      <c r="P129" s="798"/>
    </row>
    <row r="130" spans="1:16" x14ac:dyDescent="0.25">
      <c r="A130" s="846"/>
      <c r="B130" s="846"/>
      <c r="C130" s="793" t="s">
        <v>27</v>
      </c>
      <c r="D130" s="851" t="s">
        <v>470</v>
      </c>
      <c r="E130" s="851"/>
      <c r="F130" s="789">
        <f t="shared" si="3"/>
        <v>121</v>
      </c>
      <c r="G130" s="799">
        <f>a.4.Centralizat!H166</f>
        <v>165879.53</v>
      </c>
      <c r="H130" s="799">
        <f>a.4.Centralizat!I166</f>
        <v>45081.34</v>
      </c>
      <c r="I130" s="799">
        <f>a.4.Centralizat!J166</f>
        <v>39776.67</v>
      </c>
      <c r="J130" s="799">
        <f>a.4.Centralizat!K166</f>
        <v>38681.519999999997</v>
      </c>
      <c r="K130" s="799">
        <f>a.4.Centralizat!L166</f>
        <v>42340</v>
      </c>
      <c r="L130" s="799">
        <f>a.4.Centralizat!O166</f>
        <v>230697</v>
      </c>
      <c r="M130" s="799">
        <v>36223.928730400003</v>
      </c>
      <c r="N130" s="799">
        <v>165879.53</v>
      </c>
      <c r="O130" s="797">
        <f t="shared" si="2"/>
        <v>0</v>
      </c>
      <c r="P130" s="798"/>
    </row>
    <row r="131" spans="1:16" x14ac:dyDescent="0.25">
      <c r="A131" s="846"/>
      <c r="B131" s="846"/>
      <c r="C131" s="793"/>
      <c r="D131" s="849" t="s">
        <v>211</v>
      </c>
      <c r="E131" s="849"/>
      <c r="F131" s="789">
        <f t="shared" si="3"/>
        <v>122</v>
      </c>
      <c r="G131" s="799">
        <f>a.4.Centralizat!H167</f>
        <v>80000</v>
      </c>
      <c r="H131" s="799">
        <f>a.4.Centralizat!I167</f>
        <v>20000</v>
      </c>
      <c r="I131" s="799">
        <f>a.4.Centralizat!J167</f>
        <v>20000</v>
      </c>
      <c r="J131" s="799">
        <f>a.4.Centralizat!K167</f>
        <v>20000</v>
      </c>
      <c r="K131" s="799">
        <f>a.4.Centralizat!L167</f>
        <v>20000</v>
      </c>
      <c r="L131" s="799">
        <f>a.4.Centralizat!O167</f>
        <v>125518</v>
      </c>
      <c r="M131" s="799">
        <v>20000</v>
      </c>
      <c r="N131" s="799">
        <v>80000</v>
      </c>
      <c r="O131" s="797">
        <f t="shared" si="2"/>
        <v>0</v>
      </c>
      <c r="P131" s="798"/>
    </row>
    <row r="132" spans="1:16" x14ac:dyDescent="0.25">
      <c r="A132" s="846"/>
      <c r="B132" s="846"/>
      <c r="C132" s="793"/>
      <c r="D132" s="849" t="s">
        <v>212</v>
      </c>
      <c r="E132" s="849"/>
      <c r="F132" s="789">
        <f t="shared" si="3"/>
        <v>123</v>
      </c>
      <c r="G132" s="799">
        <f>a.4.Centralizat!H168</f>
        <v>85879.53</v>
      </c>
      <c r="H132" s="799">
        <f>a.4.Centralizat!I168</f>
        <v>25081.34</v>
      </c>
      <c r="I132" s="799">
        <f>a.4.Centralizat!J168</f>
        <v>19776.669999999998</v>
      </c>
      <c r="J132" s="799">
        <f>a.4.Centralizat!K168</f>
        <v>18681.52</v>
      </c>
      <c r="K132" s="799">
        <f>a.4.Centralizat!L168</f>
        <v>22340</v>
      </c>
      <c r="L132" s="799">
        <f>a.4.Centralizat!O168</f>
        <v>105179</v>
      </c>
      <c r="M132" s="799">
        <v>16223.928730399999</v>
      </c>
      <c r="N132" s="799">
        <v>85879.53</v>
      </c>
      <c r="O132" s="797">
        <f t="shared" si="2"/>
        <v>0</v>
      </c>
      <c r="P132" s="798"/>
    </row>
    <row r="133" spans="1:16" x14ac:dyDescent="0.25">
      <c r="A133" s="846"/>
      <c r="B133" s="846"/>
      <c r="C133" s="793" t="s">
        <v>38</v>
      </c>
      <c r="D133" s="849" t="s">
        <v>213</v>
      </c>
      <c r="E133" s="849"/>
      <c r="F133" s="789">
        <f t="shared" si="3"/>
        <v>124</v>
      </c>
      <c r="G133" s="799">
        <f>a.4.Centralizat!H169</f>
        <v>0</v>
      </c>
      <c r="H133" s="799">
        <f>a.4.Centralizat!I169</f>
        <v>0</v>
      </c>
      <c r="I133" s="799">
        <f>a.4.Centralizat!J169</f>
        <v>0</v>
      </c>
      <c r="J133" s="799">
        <f>a.4.Centralizat!K169</f>
        <v>0</v>
      </c>
      <c r="K133" s="799">
        <f>a.4.Centralizat!L169</f>
        <v>0</v>
      </c>
      <c r="L133" s="799">
        <f>a.4.Centralizat!O169</f>
        <v>1328</v>
      </c>
      <c r="M133" s="799">
        <v>30000</v>
      </c>
      <c r="N133" s="799">
        <v>0</v>
      </c>
      <c r="O133" s="797">
        <f t="shared" si="2"/>
        <v>0</v>
      </c>
      <c r="P133" s="798"/>
    </row>
    <row r="134" spans="1:16" x14ac:dyDescent="0.25">
      <c r="A134" s="846"/>
      <c r="B134" s="846"/>
      <c r="C134" s="793" t="s">
        <v>40</v>
      </c>
      <c r="D134" s="851" t="s">
        <v>287</v>
      </c>
      <c r="E134" s="851"/>
      <c r="F134" s="789">
        <f t="shared" si="3"/>
        <v>125</v>
      </c>
      <c r="G134" s="799">
        <f>a.4.Centralizat!H170</f>
        <v>0</v>
      </c>
      <c r="H134" s="799">
        <f>a.4.Centralizat!I170</f>
        <v>0</v>
      </c>
      <c r="I134" s="799">
        <f>a.4.Centralizat!J170</f>
        <v>0</v>
      </c>
      <c r="J134" s="799">
        <f>a.4.Centralizat!K170</f>
        <v>0</v>
      </c>
      <c r="K134" s="799">
        <f>a.4.Centralizat!L170</f>
        <v>0</v>
      </c>
      <c r="L134" s="799">
        <f>a.4.Centralizat!O170</f>
        <v>0</v>
      </c>
      <c r="M134" s="799">
        <v>0</v>
      </c>
      <c r="N134" s="799">
        <v>0</v>
      </c>
      <c r="O134" s="797">
        <f t="shared" si="2"/>
        <v>0</v>
      </c>
      <c r="P134" s="798"/>
    </row>
    <row r="135" spans="1:16" x14ac:dyDescent="0.25">
      <c r="A135" s="846"/>
      <c r="B135" s="846"/>
      <c r="C135" s="793" t="s">
        <v>42</v>
      </c>
      <c r="D135" s="849" t="s">
        <v>149</v>
      </c>
      <c r="E135" s="849"/>
      <c r="F135" s="789">
        <f t="shared" si="3"/>
        <v>126</v>
      </c>
      <c r="G135" s="799">
        <f>a.4.Centralizat!H171</f>
        <v>404.49</v>
      </c>
      <c r="H135" s="799">
        <f>a.4.Centralizat!I171</f>
        <v>101.49</v>
      </c>
      <c r="I135" s="799">
        <f>a.4.Centralizat!J171</f>
        <v>101</v>
      </c>
      <c r="J135" s="799">
        <f>a.4.Centralizat!K171</f>
        <v>101</v>
      </c>
      <c r="K135" s="799">
        <f>a.4.Centralizat!L171</f>
        <v>101</v>
      </c>
      <c r="L135" s="799">
        <f>a.4.Centralizat!O171</f>
        <v>303358</v>
      </c>
      <c r="M135" s="799">
        <v>422927.05685299996</v>
      </c>
      <c r="N135" s="799">
        <v>404.49</v>
      </c>
      <c r="O135" s="797">
        <f t="shared" si="2"/>
        <v>0</v>
      </c>
      <c r="P135" s="798"/>
    </row>
    <row r="136" spans="1:16" x14ac:dyDescent="0.25">
      <c r="A136" s="846"/>
      <c r="B136" s="846"/>
      <c r="C136" s="793" t="s">
        <v>28</v>
      </c>
      <c r="D136" s="851" t="s">
        <v>288</v>
      </c>
      <c r="E136" s="851"/>
      <c r="F136" s="789">
        <f t="shared" si="3"/>
        <v>127</v>
      </c>
      <c r="G136" s="799">
        <f>a.4.Centralizat!H172</f>
        <v>7816803.1900000004</v>
      </c>
      <c r="H136" s="799">
        <f>a.4.Centralizat!I172</f>
        <v>1825850.73</v>
      </c>
      <c r="I136" s="799">
        <f>a.4.Centralizat!J172</f>
        <v>1886350.73</v>
      </c>
      <c r="J136" s="799">
        <f>a.4.Centralizat!K172</f>
        <v>1916350.73</v>
      </c>
      <c r="K136" s="799">
        <f>a.4.Centralizat!L172</f>
        <v>2188251</v>
      </c>
      <c r="L136" s="799">
        <f>a.4.Centralizat!O172</f>
        <v>7099096</v>
      </c>
      <c r="M136" s="799">
        <v>9585294.427856598</v>
      </c>
      <c r="N136" s="799">
        <v>7816803.1900000004</v>
      </c>
      <c r="O136" s="797">
        <f t="shared" si="2"/>
        <v>0</v>
      </c>
      <c r="P136" s="798"/>
    </row>
    <row r="137" spans="1:16" x14ac:dyDescent="0.25">
      <c r="A137" s="846"/>
      <c r="B137" s="846"/>
      <c r="C137" s="793" t="s">
        <v>34</v>
      </c>
      <c r="D137" s="851" t="s">
        <v>345</v>
      </c>
      <c r="E137" s="851"/>
      <c r="F137" s="789">
        <f t="shared" si="3"/>
        <v>128</v>
      </c>
      <c r="G137" s="799">
        <f>a.4.Centralizat!H173</f>
        <v>1369516.4</v>
      </c>
      <c r="H137" s="799">
        <f>a.4.Centralizat!I173</f>
        <v>-145941.16</v>
      </c>
      <c r="I137" s="799">
        <f>a.4.Centralizat!J173</f>
        <v>-2400256.3199999998</v>
      </c>
      <c r="J137" s="799">
        <f>a.4.Centralizat!K173</f>
        <v>-102604.12</v>
      </c>
      <c r="K137" s="799">
        <f>a.4.Centralizat!L173</f>
        <v>4018318</v>
      </c>
      <c r="L137" s="799">
        <f>a.4.Centralizat!O173</f>
        <v>3426245</v>
      </c>
      <c r="M137" s="799">
        <v>3153885.35</v>
      </c>
      <c r="N137" s="799">
        <v>1369516.4</v>
      </c>
      <c r="O137" s="797">
        <f t="shared" si="2"/>
        <v>0</v>
      </c>
      <c r="P137" s="798"/>
    </row>
    <row r="138" spans="1:16" ht="23.25" customHeight="1" x14ac:dyDescent="0.25">
      <c r="A138" s="846"/>
      <c r="B138" s="789"/>
      <c r="C138" s="789"/>
      <c r="D138" s="789" t="s">
        <v>51</v>
      </c>
      <c r="E138" s="793" t="s">
        <v>460</v>
      </c>
      <c r="F138" s="789">
        <f t="shared" si="3"/>
        <v>129</v>
      </c>
      <c r="G138" s="799">
        <f>a.4.Centralizat!H174</f>
        <v>4460000</v>
      </c>
      <c r="H138" s="799">
        <f>a.4.Centralizat!I174</f>
        <v>0</v>
      </c>
      <c r="I138" s="799">
        <f>a.4.Centralizat!J174</f>
        <v>0</v>
      </c>
      <c r="J138" s="799">
        <f>a.4.Centralizat!K174</f>
        <v>0</v>
      </c>
      <c r="K138" s="799">
        <f>a.4.Centralizat!L174</f>
        <v>4460000</v>
      </c>
      <c r="L138" s="799">
        <f>a.4.Centralizat!O174</f>
        <v>7000000</v>
      </c>
      <c r="M138" s="799">
        <v>6420000</v>
      </c>
      <c r="N138" s="799">
        <v>4460000</v>
      </c>
      <c r="O138" s="797">
        <f t="shared" si="2"/>
        <v>0</v>
      </c>
      <c r="P138" s="798"/>
    </row>
    <row r="139" spans="1:16" ht="28.5" x14ac:dyDescent="0.25">
      <c r="A139" s="846"/>
      <c r="B139" s="789"/>
      <c r="C139" s="789"/>
      <c r="D139" s="807" t="s">
        <v>416</v>
      </c>
      <c r="E139" s="806" t="s">
        <v>417</v>
      </c>
      <c r="F139" s="789">
        <f t="shared" si="3"/>
        <v>130</v>
      </c>
      <c r="G139" s="799">
        <f>a.4.Centralizat!H175</f>
        <v>2300000</v>
      </c>
      <c r="H139" s="799">
        <f>a.4.Centralizat!I175</f>
        <v>0</v>
      </c>
      <c r="I139" s="799">
        <f>a.4.Centralizat!J175</f>
        <v>0</v>
      </c>
      <c r="J139" s="799">
        <f>a.4.Centralizat!K175</f>
        <v>0</v>
      </c>
      <c r="K139" s="799">
        <f>a.4.Centralizat!L175</f>
        <v>2300000</v>
      </c>
      <c r="L139" s="799">
        <f>a.4.Centralizat!O175</f>
        <v>2300000</v>
      </c>
      <c r="M139" s="799">
        <v>2300000</v>
      </c>
      <c r="N139" s="799">
        <v>2300000</v>
      </c>
      <c r="O139" s="797">
        <f t="shared" ref="O139:O163" si="4">G139-N139</f>
        <v>0</v>
      </c>
      <c r="P139" s="798"/>
    </row>
    <row r="140" spans="1:16" ht="28.5" x14ac:dyDescent="0.25">
      <c r="A140" s="846"/>
      <c r="B140" s="789"/>
      <c r="C140" s="789"/>
      <c r="D140" s="807" t="s">
        <v>418</v>
      </c>
      <c r="E140" s="806" t="s">
        <v>419</v>
      </c>
      <c r="F140" s="808" t="s">
        <v>420</v>
      </c>
      <c r="G140" s="799">
        <f>a.4.Centralizat!H176</f>
        <v>0</v>
      </c>
      <c r="H140" s="799">
        <f>a.4.Centralizat!I176</f>
        <v>0</v>
      </c>
      <c r="I140" s="799">
        <f>a.4.Centralizat!J176</f>
        <v>0</v>
      </c>
      <c r="J140" s="799">
        <f>a.4.Centralizat!K176</f>
        <v>0</v>
      </c>
      <c r="K140" s="799">
        <f>a.4.Centralizat!L176</f>
        <v>0</v>
      </c>
      <c r="L140" s="799">
        <f>a.4.Centralizat!O176</f>
        <v>0</v>
      </c>
      <c r="M140" s="799"/>
      <c r="N140" s="799">
        <v>0</v>
      </c>
      <c r="O140" s="797">
        <f t="shared" si="4"/>
        <v>0</v>
      </c>
      <c r="P140" s="798"/>
    </row>
    <row r="141" spans="1:16" ht="45" x14ac:dyDescent="0.25">
      <c r="A141" s="846"/>
      <c r="B141" s="789"/>
      <c r="C141" s="789"/>
      <c r="D141" s="809" t="s">
        <v>52</v>
      </c>
      <c r="E141" s="802" t="s">
        <v>346</v>
      </c>
      <c r="F141" s="789">
        <v>131</v>
      </c>
      <c r="G141" s="799">
        <f>a.4.Centralizat!H177</f>
        <v>3090483.6</v>
      </c>
      <c r="H141" s="799">
        <f>a.4.Centralizat!I177</f>
        <v>145941.16</v>
      </c>
      <c r="I141" s="799">
        <f>a.4.Centralizat!J177</f>
        <v>2400256.3199999998</v>
      </c>
      <c r="J141" s="799">
        <f>a.4.Centralizat!K177</f>
        <v>102604.12</v>
      </c>
      <c r="K141" s="799">
        <f>a.4.Centralizat!L177</f>
        <v>441682</v>
      </c>
      <c r="L141" s="799">
        <f>a.4.Centralizat!O177</f>
        <v>3573755</v>
      </c>
      <c r="M141" s="799">
        <v>3266114.65</v>
      </c>
      <c r="N141" s="799">
        <v>3090483.6</v>
      </c>
      <c r="O141" s="797">
        <f t="shared" si="4"/>
        <v>0</v>
      </c>
      <c r="P141" s="798"/>
    </row>
    <row r="142" spans="1:16" ht="30" x14ac:dyDescent="0.25">
      <c r="A142" s="846"/>
      <c r="B142" s="789"/>
      <c r="C142" s="789"/>
      <c r="D142" s="809" t="s">
        <v>65</v>
      </c>
      <c r="E142" s="802" t="s">
        <v>459</v>
      </c>
      <c r="F142" s="789">
        <f t="shared" ref="F142:F158" si="5">F141+1</f>
        <v>132</v>
      </c>
      <c r="G142" s="799">
        <f>a.4.Centralizat!H178</f>
        <v>3090483.6</v>
      </c>
      <c r="H142" s="799">
        <f>a.4.Centralizat!I178</f>
        <v>145941.16</v>
      </c>
      <c r="I142" s="799">
        <f>a.4.Centralizat!J178</f>
        <v>2400256.3199999998</v>
      </c>
      <c r="J142" s="799">
        <f>a.4.Centralizat!K178</f>
        <v>102604.12</v>
      </c>
      <c r="K142" s="799">
        <f>a.4.Centralizat!L178</f>
        <v>441682</v>
      </c>
      <c r="L142" s="799">
        <f>a.4.Centralizat!O178</f>
        <v>3573755</v>
      </c>
      <c r="M142" s="799">
        <v>3266114.65</v>
      </c>
      <c r="N142" s="799">
        <v>3090483.6</v>
      </c>
      <c r="O142" s="797">
        <f t="shared" si="4"/>
        <v>0</v>
      </c>
      <c r="P142" s="798"/>
    </row>
    <row r="143" spans="1:16" x14ac:dyDescent="0.25">
      <c r="A143" s="846"/>
      <c r="B143" s="789"/>
      <c r="C143" s="789"/>
      <c r="D143" s="789"/>
      <c r="E143" s="793" t="s">
        <v>426</v>
      </c>
      <c r="F143" s="789">
        <f t="shared" si="5"/>
        <v>133</v>
      </c>
      <c r="G143" s="799">
        <f>a.4.Centralizat!H179</f>
        <v>2300000</v>
      </c>
      <c r="H143" s="799">
        <f>a.4.Centralizat!I179</f>
        <v>0</v>
      </c>
      <c r="I143" s="799">
        <f>a.4.Centralizat!J179</f>
        <v>2300000</v>
      </c>
      <c r="J143" s="799">
        <f>a.4.Centralizat!K179</f>
        <v>0</v>
      </c>
      <c r="K143" s="799">
        <f>a.4.Centralizat!L179</f>
        <v>0</v>
      </c>
      <c r="L143" s="799">
        <f>a.4.Centralizat!O179</f>
        <v>2100000</v>
      </c>
      <c r="M143" s="799">
        <v>2000000</v>
      </c>
      <c r="N143" s="799">
        <v>2300000</v>
      </c>
      <c r="O143" s="797">
        <f t="shared" si="4"/>
        <v>0</v>
      </c>
      <c r="P143" s="798"/>
    </row>
    <row r="144" spans="1:16" ht="30" x14ac:dyDescent="0.25">
      <c r="A144" s="846"/>
      <c r="B144" s="789"/>
      <c r="C144" s="789"/>
      <c r="D144" s="789"/>
      <c r="E144" s="802" t="s">
        <v>347</v>
      </c>
      <c r="F144" s="789">
        <f t="shared" si="5"/>
        <v>134</v>
      </c>
      <c r="G144" s="799">
        <f>a.4.Centralizat!H180</f>
        <v>748006</v>
      </c>
      <c r="H144" s="799">
        <f>a.4.Centralizat!I180</f>
        <v>134854</v>
      </c>
      <c r="I144" s="799">
        <f>a.4.Centralizat!J180</f>
        <v>90824</v>
      </c>
      <c r="J144" s="799">
        <f>a.4.Centralizat!K180</f>
        <v>92125</v>
      </c>
      <c r="K144" s="799">
        <f>a.4.Centralizat!L180</f>
        <v>430203</v>
      </c>
      <c r="L144" s="799">
        <f>a.4.Centralizat!O180</f>
        <v>778982</v>
      </c>
      <c r="M144" s="799">
        <v>1266114.6499999999</v>
      </c>
      <c r="N144" s="799">
        <v>748006</v>
      </c>
      <c r="O144" s="797">
        <f t="shared" si="4"/>
        <v>0</v>
      </c>
      <c r="P144" s="798"/>
    </row>
    <row r="145" spans="1:16" x14ac:dyDescent="0.25">
      <c r="A145" s="846"/>
      <c r="B145" s="789"/>
      <c r="C145" s="789"/>
      <c r="D145" s="789"/>
      <c r="E145" s="793" t="s">
        <v>348</v>
      </c>
      <c r="F145" s="789">
        <f t="shared" si="5"/>
        <v>135</v>
      </c>
      <c r="G145" s="799">
        <f>a.4.Centralizat!H181</f>
        <v>42477.599999999999</v>
      </c>
      <c r="H145" s="799">
        <f>a.4.Centralizat!I181</f>
        <v>11087.16</v>
      </c>
      <c r="I145" s="799">
        <f>a.4.Centralizat!J181</f>
        <v>9432.32</v>
      </c>
      <c r="J145" s="799">
        <f>a.4.Centralizat!K181</f>
        <v>10479.120000000001</v>
      </c>
      <c r="K145" s="799">
        <f>a.4.Centralizat!L181</f>
        <v>11479</v>
      </c>
      <c r="L145" s="799">
        <f>a.4.Centralizat!O181</f>
        <v>694773</v>
      </c>
      <c r="M145" s="799">
        <v>0</v>
      </c>
      <c r="N145" s="799">
        <v>42477.599999999999</v>
      </c>
      <c r="O145" s="797">
        <f t="shared" si="4"/>
        <v>0</v>
      </c>
      <c r="P145" s="798"/>
    </row>
    <row r="146" spans="1:16" ht="18" customHeight="1" x14ac:dyDescent="0.25">
      <c r="A146" s="846"/>
      <c r="B146" s="789" t="s">
        <v>21</v>
      </c>
      <c r="C146" s="789"/>
      <c r="D146" s="850" t="s">
        <v>471</v>
      </c>
      <c r="E146" s="850"/>
      <c r="F146" s="789">
        <f t="shared" si="5"/>
        <v>136</v>
      </c>
      <c r="G146" s="799">
        <f>a.4.Centralizat!H182</f>
        <v>1810000</v>
      </c>
      <c r="H146" s="799">
        <f>a.4.Centralizat!I182</f>
        <v>570000</v>
      </c>
      <c r="I146" s="799">
        <f>a.4.Centralizat!J182</f>
        <v>200000</v>
      </c>
      <c r="J146" s="799">
        <f>a.4.Centralizat!K182</f>
        <v>755000</v>
      </c>
      <c r="K146" s="799">
        <f>a.4.Centralizat!L182</f>
        <v>285000</v>
      </c>
      <c r="L146" s="799">
        <f>a.4.Centralizat!O182</f>
        <v>1789077</v>
      </c>
      <c r="M146" s="799">
        <v>2401179</v>
      </c>
      <c r="N146" s="799">
        <v>1810000</v>
      </c>
      <c r="O146" s="797">
        <f t="shared" si="4"/>
        <v>0</v>
      </c>
      <c r="P146" s="798"/>
    </row>
    <row r="147" spans="1:16" x14ac:dyDescent="0.25">
      <c r="A147" s="846"/>
      <c r="B147" s="846"/>
      <c r="C147" s="789" t="s">
        <v>27</v>
      </c>
      <c r="D147" s="846" t="s">
        <v>461</v>
      </c>
      <c r="E147" s="846"/>
      <c r="F147" s="789">
        <f t="shared" si="5"/>
        <v>137</v>
      </c>
      <c r="G147" s="799">
        <f>a.4.Centralizat!H183</f>
        <v>900000</v>
      </c>
      <c r="H147" s="799">
        <f>a.4.Centralizat!I183</f>
        <v>400000</v>
      </c>
      <c r="I147" s="799">
        <f>a.4.Centralizat!J183</f>
        <v>0</v>
      </c>
      <c r="J147" s="799">
        <f>a.4.Centralizat!K183</f>
        <v>500000</v>
      </c>
      <c r="K147" s="799">
        <f>a.4.Centralizat!L183</f>
        <v>0</v>
      </c>
      <c r="L147" s="799">
        <f>a.4.Centralizat!O183</f>
        <v>609618</v>
      </c>
      <c r="M147" s="799">
        <v>801179</v>
      </c>
      <c r="N147" s="799">
        <v>900000</v>
      </c>
      <c r="O147" s="797">
        <f t="shared" si="4"/>
        <v>0</v>
      </c>
      <c r="P147" s="798"/>
    </row>
    <row r="148" spans="1:16" x14ac:dyDescent="0.25">
      <c r="A148" s="846"/>
      <c r="B148" s="846"/>
      <c r="C148" s="789"/>
      <c r="D148" s="789" t="s">
        <v>237</v>
      </c>
      <c r="E148" s="793" t="s">
        <v>294</v>
      </c>
      <c r="F148" s="789">
        <f t="shared" si="5"/>
        <v>138</v>
      </c>
      <c r="G148" s="799">
        <f>a.4.Centralizat!H184</f>
        <v>900000</v>
      </c>
      <c r="H148" s="799">
        <f>a.4.Centralizat!I184</f>
        <v>400000</v>
      </c>
      <c r="I148" s="799">
        <f>a.4.Centralizat!J184</f>
        <v>0</v>
      </c>
      <c r="J148" s="799">
        <f>a.4.Centralizat!K184</f>
        <v>500000</v>
      </c>
      <c r="K148" s="799">
        <f>a.4.Centralizat!L184</f>
        <v>0</v>
      </c>
      <c r="L148" s="799">
        <f>a.4.Centralizat!O184</f>
        <v>609618</v>
      </c>
      <c r="M148" s="799">
        <v>801179</v>
      </c>
      <c r="N148" s="799">
        <v>900000</v>
      </c>
      <c r="O148" s="797">
        <f t="shared" si="4"/>
        <v>0</v>
      </c>
      <c r="P148" s="798"/>
    </row>
    <row r="149" spans="1:16" x14ac:dyDescent="0.25">
      <c r="A149" s="846"/>
      <c r="B149" s="846"/>
      <c r="C149" s="789"/>
      <c r="D149" s="789" t="s">
        <v>66</v>
      </c>
      <c r="E149" s="793" t="s">
        <v>349</v>
      </c>
      <c r="F149" s="789">
        <f t="shared" si="5"/>
        <v>139</v>
      </c>
      <c r="G149" s="799">
        <f>a.4.Centralizat!H185</f>
        <v>0</v>
      </c>
      <c r="H149" s="799">
        <f>a.4.Centralizat!I185</f>
        <v>0</v>
      </c>
      <c r="I149" s="799">
        <f>a.4.Centralizat!J185</f>
        <v>0</v>
      </c>
      <c r="J149" s="799">
        <f>a.4.Centralizat!K185</f>
        <v>0</v>
      </c>
      <c r="K149" s="799">
        <f>a.4.Centralizat!L185</f>
        <v>0</v>
      </c>
      <c r="L149" s="799">
        <f>a.4.Centralizat!O185</f>
        <v>0</v>
      </c>
      <c r="M149" s="799">
        <v>0</v>
      </c>
      <c r="N149" s="799">
        <v>0</v>
      </c>
      <c r="O149" s="797">
        <f t="shared" si="4"/>
        <v>0</v>
      </c>
      <c r="P149" s="798"/>
    </row>
    <row r="150" spans="1:16" x14ac:dyDescent="0.25">
      <c r="A150" s="846"/>
      <c r="B150" s="846"/>
      <c r="C150" s="789" t="s">
        <v>38</v>
      </c>
      <c r="D150" s="848" t="s">
        <v>440</v>
      </c>
      <c r="E150" s="848"/>
      <c r="F150" s="789">
        <f t="shared" si="5"/>
        <v>140</v>
      </c>
      <c r="G150" s="799">
        <f>a.4.Centralizat!H186</f>
        <v>660000</v>
      </c>
      <c r="H150" s="799">
        <f>a.4.Centralizat!I186</f>
        <v>120000</v>
      </c>
      <c r="I150" s="799">
        <f>a.4.Centralizat!J186</f>
        <v>140000</v>
      </c>
      <c r="J150" s="799">
        <f>a.4.Centralizat!K186</f>
        <v>180000</v>
      </c>
      <c r="K150" s="799">
        <f>a.4.Centralizat!L186</f>
        <v>220000</v>
      </c>
      <c r="L150" s="799">
        <f>a.4.Centralizat!O186</f>
        <v>938394</v>
      </c>
      <c r="M150" s="799">
        <v>1100000</v>
      </c>
      <c r="N150" s="799">
        <v>660000</v>
      </c>
      <c r="O150" s="797">
        <f t="shared" si="4"/>
        <v>0</v>
      </c>
      <c r="P150" s="798"/>
    </row>
    <row r="151" spans="1:16" x14ac:dyDescent="0.25">
      <c r="A151" s="846"/>
      <c r="B151" s="846"/>
      <c r="C151" s="789"/>
      <c r="D151" s="789" t="s">
        <v>76</v>
      </c>
      <c r="E151" s="793" t="s">
        <v>294</v>
      </c>
      <c r="F151" s="789">
        <f t="shared" si="5"/>
        <v>141</v>
      </c>
      <c r="G151" s="799">
        <f>a.4.Centralizat!H187</f>
        <v>660000</v>
      </c>
      <c r="H151" s="799">
        <f>a.4.Centralizat!I187</f>
        <v>120000</v>
      </c>
      <c r="I151" s="799">
        <f>a.4.Centralizat!J187</f>
        <v>140000</v>
      </c>
      <c r="J151" s="799">
        <f>a.4.Centralizat!K187</f>
        <v>180000</v>
      </c>
      <c r="K151" s="799">
        <f>a.4.Centralizat!L187</f>
        <v>220000</v>
      </c>
      <c r="L151" s="799">
        <f>a.4.Centralizat!O187</f>
        <v>938394</v>
      </c>
      <c r="M151" s="799">
        <v>1100000</v>
      </c>
      <c r="N151" s="799">
        <v>660000</v>
      </c>
      <c r="O151" s="797">
        <f t="shared" si="4"/>
        <v>0</v>
      </c>
      <c r="P151" s="798"/>
    </row>
    <row r="152" spans="1:16" x14ac:dyDescent="0.25">
      <c r="A152" s="846"/>
      <c r="B152" s="846"/>
      <c r="C152" s="789"/>
      <c r="D152" s="789" t="s">
        <v>99</v>
      </c>
      <c r="E152" s="793" t="s">
        <v>295</v>
      </c>
      <c r="F152" s="789">
        <f t="shared" si="5"/>
        <v>142</v>
      </c>
      <c r="G152" s="799">
        <f>a.4.Centralizat!H188</f>
        <v>0</v>
      </c>
      <c r="H152" s="799">
        <f>a.4.Centralizat!I188</f>
        <v>0</v>
      </c>
      <c r="I152" s="799">
        <f>a.4.Centralizat!J188</f>
        <v>0</v>
      </c>
      <c r="J152" s="799">
        <f>a.4.Centralizat!K188</f>
        <v>0</v>
      </c>
      <c r="K152" s="799">
        <f>a.4.Centralizat!L188</f>
        <v>0</v>
      </c>
      <c r="L152" s="799">
        <f>a.4.Centralizat!O188</f>
        <v>0</v>
      </c>
      <c r="M152" s="799">
        <v>0</v>
      </c>
      <c r="N152" s="799">
        <v>0</v>
      </c>
      <c r="O152" s="797">
        <f t="shared" si="4"/>
        <v>0</v>
      </c>
      <c r="P152" s="798"/>
    </row>
    <row r="153" spans="1:16" x14ac:dyDescent="0.25">
      <c r="A153" s="846"/>
      <c r="B153" s="846"/>
      <c r="C153" s="789" t="s">
        <v>40</v>
      </c>
      <c r="D153" s="849" t="s">
        <v>296</v>
      </c>
      <c r="E153" s="849"/>
      <c r="F153" s="789">
        <f t="shared" si="5"/>
        <v>143</v>
      </c>
      <c r="G153" s="799">
        <f>a.4.Centralizat!H189</f>
        <v>250000</v>
      </c>
      <c r="H153" s="799">
        <f>a.4.Centralizat!I189</f>
        <v>50000</v>
      </c>
      <c r="I153" s="799">
        <f>a.4.Centralizat!J189</f>
        <v>60000</v>
      </c>
      <c r="J153" s="799">
        <f>a.4.Centralizat!K189</f>
        <v>75000</v>
      </c>
      <c r="K153" s="799">
        <f>a.4.Centralizat!L189</f>
        <v>65000</v>
      </c>
      <c r="L153" s="799">
        <f>a.4.Centralizat!O189</f>
        <v>241065</v>
      </c>
      <c r="M153" s="799">
        <v>500000</v>
      </c>
      <c r="N153" s="799">
        <v>250000</v>
      </c>
      <c r="O153" s="797">
        <f t="shared" si="4"/>
        <v>0</v>
      </c>
      <c r="P153" s="798"/>
    </row>
    <row r="154" spans="1:16" x14ac:dyDescent="0.25">
      <c r="A154" s="846"/>
      <c r="B154" s="789" t="s">
        <v>17</v>
      </c>
      <c r="C154" s="790"/>
      <c r="D154" s="847" t="s">
        <v>129</v>
      </c>
      <c r="E154" s="847"/>
      <c r="F154" s="789">
        <f t="shared" si="5"/>
        <v>144</v>
      </c>
      <c r="G154" s="799">
        <f>a.4.Centralizat!H190</f>
        <v>0</v>
      </c>
      <c r="H154" s="799">
        <f>a.4.Centralizat!I190</f>
        <v>0</v>
      </c>
      <c r="I154" s="799">
        <f>a.4.Centralizat!J190</f>
        <v>0</v>
      </c>
      <c r="J154" s="799">
        <f>a.4.Centralizat!K190</f>
        <v>0</v>
      </c>
      <c r="K154" s="799">
        <f>a.4.Centralizat!L190</f>
        <v>0</v>
      </c>
      <c r="L154" s="799">
        <f>a.4.Centralizat!O190</f>
        <v>0</v>
      </c>
      <c r="M154" s="799">
        <v>0</v>
      </c>
      <c r="N154" s="799">
        <v>0</v>
      </c>
      <c r="O154" s="797">
        <f t="shared" si="4"/>
        <v>0</v>
      </c>
      <c r="P154" s="798"/>
    </row>
    <row r="155" spans="1:16" x14ac:dyDescent="0.25">
      <c r="A155" s="790" t="s">
        <v>130</v>
      </c>
      <c r="B155" s="790"/>
      <c r="C155" s="790"/>
      <c r="D155" s="847" t="s">
        <v>441</v>
      </c>
      <c r="E155" s="847"/>
      <c r="F155" s="789">
        <f t="shared" si="5"/>
        <v>145</v>
      </c>
      <c r="G155" s="799">
        <f>a.4.Centralizat!H191</f>
        <v>11909218.905120011</v>
      </c>
      <c r="H155" s="799">
        <f>a.4.Centralizat!I191</f>
        <v>5834498.1864799978</v>
      </c>
      <c r="I155" s="799">
        <f>a.4.Centralizat!J191</f>
        <v>5317015.6756599993</v>
      </c>
      <c r="J155" s="799">
        <f>a.4.Centralizat!K191</f>
        <v>2581024.3249199986</v>
      </c>
      <c r="K155" s="799">
        <f>a.4.Centralizat!L191</f>
        <v>-1823319.2819399976</v>
      </c>
      <c r="L155" s="799">
        <f>a.4.Centralizat!O191</f>
        <v>33560104.365480006</v>
      </c>
      <c r="M155" s="799">
        <v>21557110.070958659</v>
      </c>
      <c r="N155" s="799">
        <v>17588385.905120011</v>
      </c>
      <c r="O155" s="797">
        <f t="shared" si="4"/>
        <v>-5679167</v>
      </c>
      <c r="P155" s="798"/>
    </row>
    <row r="156" spans="1:16" x14ac:dyDescent="0.25">
      <c r="A156" s="790"/>
      <c r="B156" s="790"/>
      <c r="C156" s="790"/>
      <c r="D156" s="805"/>
      <c r="E156" s="805" t="s">
        <v>421</v>
      </c>
      <c r="F156" s="808">
        <v>146</v>
      </c>
      <c r="G156" s="799">
        <f>a.4.Centralizat!H192</f>
        <v>3090483.6</v>
      </c>
      <c r="H156" s="799">
        <f>a.4.Centralizat!I192</f>
        <v>145941.16</v>
      </c>
      <c r="I156" s="799">
        <f>a.4.Centralizat!J192</f>
        <v>2400256.3199999998</v>
      </c>
      <c r="J156" s="799">
        <f>a.4.Centralizat!K192</f>
        <v>102604.12</v>
      </c>
      <c r="K156" s="799">
        <f>a.4.Centralizat!L192</f>
        <v>441682</v>
      </c>
      <c r="L156" s="799">
        <f>a.4.Centralizat!O192</f>
        <v>3573755</v>
      </c>
      <c r="M156" s="799">
        <v>3266114.65</v>
      </c>
      <c r="N156" s="799">
        <v>3090483.6</v>
      </c>
      <c r="O156" s="797">
        <f t="shared" si="4"/>
        <v>0</v>
      </c>
      <c r="P156" s="798"/>
    </row>
    <row r="157" spans="1:16" x14ac:dyDescent="0.25">
      <c r="A157" s="789"/>
      <c r="B157" s="789"/>
      <c r="C157" s="789"/>
      <c r="D157" s="805"/>
      <c r="E157" s="805" t="s">
        <v>297</v>
      </c>
      <c r="F157" s="808">
        <v>147</v>
      </c>
      <c r="G157" s="799">
        <f>a.4.Centralizat!H193</f>
        <v>4460000</v>
      </c>
      <c r="H157" s="799">
        <f>a.4.Centralizat!I193</f>
        <v>0</v>
      </c>
      <c r="I157" s="799">
        <f>a.4.Centralizat!J193</f>
        <v>0</v>
      </c>
      <c r="J157" s="799">
        <f>a.4.Centralizat!K193</f>
        <v>0</v>
      </c>
      <c r="K157" s="799">
        <f>a.4.Centralizat!L193</f>
        <v>4460000</v>
      </c>
      <c r="L157" s="799">
        <f>a.4.Centralizat!O193</f>
        <v>7000000</v>
      </c>
      <c r="M157" s="799">
        <v>6420000</v>
      </c>
      <c r="N157" s="799">
        <v>4460000</v>
      </c>
      <c r="O157" s="797">
        <f t="shared" si="4"/>
        <v>0</v>
      </c>
      <c r="P157" s="798"/>
    </row>
    <row r="158" spans="1:16" x14ac:dyDescent="0.25">
      <c r="A158" s="790" t="s">
        <v>132</v>
      </c>
      <c r="B158" s="790"/>
      <c r="C158" s="790"/>
      <c r="D158" s="847" t="s">
        <v>133</v>
      </c>
      <c r="E158" s="847"/>
      <c r="F158" s="789">
        <f t="shared" si="5"/>
        <v>148</v>
      </c>
      <c r="G158" s="799">
        <f>SUM(H158:K158)</f>
        <v>2399952.4008191996</v>
      </c>
      <c r="H158" s="799">
        <f>(H155+H156)*16%</f>
        <v>956870.29543679964</v>
      </c>
      <c r="I158" s="799">
        <f t="shared" ref="I158:K158" si="6">(I155+I156)*16%</f>
        <v>1234763.5193055999</v>
      </c>
      <c r="J158" s="799">
        <f t="shared" si="6"/>
        <v>429380.55118719983</v>
      </c>
      <c r="K158" s="799">
        <f t="shared" si="6"/>
        <v>-221061.96511039961</v>
      </c>
      <c r="L158" s="799">
        <f>a.4.Centralizat!O194</f>
        <v>6542374.7784767998</v>
      </c>
      <c r="M158" s="799">
        <v>4476337.6113533853</v>
      </c>
      <c r="N158" s="799">
        <v>3308619.1208191994</v>
      </c>
      <c r="O158" s="797">
        <f t="shared" si="4"/>
        <v>-908666.71999999974</v>
      </c>
      <c r="P158" s="798"/>
    </row>
    <row r="159" spans="1:16" x14ac:dyDescent="0.25">
      <c r="A159" s="790"/>
      <c r="B159" s="790"/>
      <c r="C159" s="790"/>
      <c r="D159" s="790"/>
      <c r="E159" s="790"/>
      <c r="F159" s="789"/>
      <c r="G159" s="799"/>
      <c r="H159" s="799"/>
      <c r="I159" s="799"/>
      <c r="J159" s="799"/>
      <c r="K159" s="799"/>
      <c r="L159" s="799">
        <f>a.4.Centralizat!O195</f>
        <v>27347467.587003198</v>
      </c>
      <c r="M159" s="799"/>
      <c r="N159" s="799"/>
      <c r="O159" s="797">
        <f t="shared" si="4"/>
        <v>0</v>
      </c>
      <c r="P159" s="798"/>
    </row>
    <row r="160" spans="1:16" x14ac:dyDescent="0.25">
      <c r="A160" s="804" t="s">
        <v>134</v>
      </c>
      <c r="B160" s="810"/>
      <c r="C160" s="804"/>
      <c r="D160" s="855" t="s">
        <v>422</v>
      </c>
      <c r="E160" s="855"/>
      <c r="F160" s="808">
        <v>149</v>
      </c>
      <c r="G160" s="799">
        <f>a.4.Centralizat!H196</f>
        <v>0</v>
      </c>
      <c r="H160" s="799">
        <f>a.4.Centralizat!I196</f>
        <v>0</v>
      </c>
      <c r="I160" s="799">
        <f>a.4.Centralizat!J196</f>
        <v>0</v>
      </c>
      <c r="J160" s="799">
        <f>a.4.Centralizat!K196</f>
        <v>0</v>
      </c>
      <c r="K160" s="799">
        <f>a.4.Centralizat!L196</f>
        <v>0</v>
      </c>
      <c r="L160" s="799">
        <f>a.4.Centralizat!O196</f>
        <v>0</v>
      </c>
      <c r="M160" s="799"/>
      <c r="N160" s="799">
        <v>0</v>
      </c>
      <c r="O160" s="797">
        <f t="shared" si="4"/>
        <v>0</v>
      </c>
    </row>
    <row r="161" spans="1:15" x14ac:dyDescent="0.25">
      <c r="A161" s="804" t="s">
        <v>141</v>
      </c>
      <c r="B161" s="810"/>
      <c r="C161" s="810"/>
      <c r="D161" s="855" t="s">
        <v>423</v>
      </c>
      <c r="E161" s="855"/>
      <c r="F161" s="808">
        <v>150</v>
      </c>
      <c r="G161" s="799">
        <f>a.4.Centralizat!H197</f>
        <v>0</v>
      </c>
      <c r="H161" s="799">
        <f>a.4.Centralizat!I197</f>
        <v>0</v>
      </c>
      <c r="I161" s="799">
        <f>a.4.Centralizat!J197</f>
        <v>0</v>
      </c>
      <c r="J161" s="799">
        <f>a.4.Centralizat!K197</f>
        <v>0</v>
      </c>
      <c r="K161" s="799">
        <f>a.4.Centralizat!L197</f>
        <v>0</v>
      </c>
      <c r="L161" s="799">
        <f>a.4.Centralizat!O197</f>
        <v>0</v>
      </c>
      <c r="M161" s="799"/>
      <c r="N161" s="799">
        <v>0</v>
      </c>
      <c r="O161" s="797">
        <f t="shared" si="4"/>
        <v>0</v>
      </c>
    </row>
    <row r="162" spans="1:15" x14ac:dyDescent="0.25">
      <c r="A162" s="804" t="s">
        <v>143</v>
      </c>
      <c r="B162" s="795"/>
      <c r="C162" s="795"/>
      <c r="D162" s="811" t="s">
        <v>424</v>
      </c>
      <c r="E162" s="811"/>
      <c r="F162" s="794">
        <v>151</v>
      </c>
      <c r="G162" s="799">
        <f>a.4.Centralizat!H198</f>
        <v>0</v>
      </c>
      <c r="H162" s="799">
        <f>a.4.Centralizat!I198</f>
        <v>0</v>
      </c>
      <c r="I162" s="799">
        <f>a.4.Centralizat!J198</f>
        <v>0</v>
      </c>
      <c r="J162" s="799">
        <f>a.4.Centralizat!K198</f>
        <v>0</v>
      </c>
      <c r="K162" s="799">
        <f>a.4.Centralizat!L198</f>
        <v>0</v>
      </c>
      <c r="L162" s="799">
        <f>a.4.Centralizat!O198</f>
        <v>0</v>
      </c>
      <c r="M162" s="799"/>
      <c r="N162" s="799">
        <v>0</v>
      </c>
      <c r="O162" s="797">
        <f t="shared" si="4"/>
        <v>0</v>
      </c>
    </row>
    <row r="163" spans="1:15" s="787" customFormat="1" x14ac:dyDescent="0.25">
      <c r="A163" s="804" t="s">
        <v>150</v>
      </c>
      <c r="B163" s="795"/>
      <c r="C163" s="795"/>
      <c r="D163" s="856" t="s">
        <v>425</v>
      </c>
      <c r="E163" s="856"/>
      <c r="F163" s="794">
        <v>152</v>
      </c>
      <c r="G163" s="799">
        <f>a.4.Centralizat!H199</f>
        <v>0</v>
      </c>
      <c r="H163" s="799">
        <f>a.4.Centralizat!I199</f>
        <v>0</v>
      </c>
      <c r="I163" s="799">
        <f>a.4.Centralizat!J199</f>
        <v>0</v>
      </c>
      <c r="J163" s="799">
        <f>a.4.Centralizat!K199</f>
        <v>0</v>
      </c>
      <c r="K163" s="799">
        <f>a.4.Centralizat!L199</f>
        <v>0</v>
      </c>
      <c r="L163" s="799">
        <f>a.4.Centralizat!O199</f>
        <v>0</v>
      </c>
      <c r="M163" s="799"/>
      <c r="N163" s="799">
        <v>0</v>
      </c>
      <c r="O163" s="797">
        <f t="shared" si="4"/>
        <v>0</v>
      </c>
    </row>
    <row r="164" spans="1:15" s="787" customFormat="1" x14ac:dyDescent="0.25">
      <c r="E164" s="853"/>
      <c r="F164" s="853"/>
      <c r="G164" s="798"/>
      <c r="H164" s="798"/>
      <c r="I164" s="798"/>
      <c r="J164" s="798"/>
      <c r="K164" s="798"/>
    </row>
    <row r="165" spans="1:15" s="787" customFormat="1" ht="11.25" customHeight="1" x14ac:dyDescent="0.25">
      <c r="E165" s="853"/>
      <c r="F165" s="853"/>
      <c r="G165" s="798"/>
      <c r="H165" s="798"/>
      <c r="I165" s="798"/>
      <c r="J165" s="798"/>
      <c r="K165" s="798"/>
    </row>
    <row r="166" spans="1:15" s="787" customFormat="1" ht="12" customHeight="1" x14ac:dyDescent="0.25">
      <c r="E166" s="854"/>
      <c r="F166" s="854"/>
      <c r="G166" s="798"/>
      <c r="H166" s="798"/>
      <c r="I166" s="798"/>
      <c r="J166" s="798"/>
      <c r="K166" s="798"/>
    </row>
    <row r="167" spans="1:15" s="787" customFormat="1" x14ac:dyDescent="0.25">
      <c r="E167" s="812"/>
      <c r="F167" s="812"/>
      <c r="G167" s="813"/>
      <c r="H167" s="813"/>
      <c r="I167" s="813"/>
      <c r="J167" s="813"/>
      <c r="K167" s="813"/>
    </row>
    <row r="168" spans="1:15" s="787" customFormat="1" x14ac:dyDescent="0.25"/>
    <row r="169" spans="1:15" s="787" customFormat="1" x14ac:dyDescent="0.25">
      <c r="G169" s="814"/>
      <c r="H169" s="814"/>
      <c r="I169" s="814"/>
      <c r="J169" s="814"/>
      <c r="K169" s="814"/>
    </row>
    <row r="170" spans="1:15" s="787" customFormat="1" x14ac:dyDescent="0.25">
      <c r="E170" s="815"/>
      <c r="F170" s="816"/>
      <c r="G170" s="817"/>
      <c r="H170" s="817"/>
      <c r="I170" s="817"/>
      <c r="J170" s="817"/>
      <c r="K170" s="817"/>
    </row>
    <row r="171" spans="1:15" s="787" customFormat="1" x14ac:dyDescent="0.25">
      <c r="E171" s="815"/>
      <c r="F171" s="816"/>
      <c r="G171" s="817"/>
      <c r="H171" s="817"/>
      <c r="I171" s="817"/>
      <c r="J171" s="817"/>
      <c r="K171" s="817"/>
    </row>
    <row r="172" spans="1:15" s="787" customFormat="1" x14ac:dyDescent="0.25">
      <c r="E172" s="818"/>
      <c r="F172" s="819"/>
      <c r="G172" s="817"/>
      <c r="H172" s="817"/>
      <c r="I172" s="817"/>
      <c r="J172" s="817"/>
      <c r="K172" s="817"/>
    </row>
    <row r="177" spans="5:7" x14ac:dyDescent="0.25">
      <c r="E177" s="784" t="s">
        <v>373</v>
      </c>
      <c r="G177" s="784" t="s">
        <v>374</v>
      </c>
    </row>
    <row r="178" spans="5:7" x14ac:dyDescent="0.25">
      <c r="E178" s="784" t="s">
        <v>375</v>
      </c>
      <c r="G178" s="784" t="s">
        <v>376</v>
      </c>
    </row>
  </sheetData>
  <mergeCells count="120">
    <mergeCell ref="D131:E131"/>
    <mergeCell ref="D132:E132"/>
    <mergeCell ref="D133:E133"/>
    <mergeCell ref="E164:F164"/>
    <mergeCell ref="E165:F165"/>
    <mergeCell ref="E166:F166"/>
    <mergeCell ref="D154:E154"/>
    <mergeCell ref="D155:E155"/>
    <mergeCell ref="D158:E158"/>
    <mergeCell ref="D160:E160"/>
    <mergeCell ref="D161:E161"/>
    <mergeCell ref="D163:E163"/>
    <mergeCell ref="D110:E110"/>
    <mergeCell ref="D111:E111"/>
    <mergeCell ref="D112:E112"/>
    <mergeCell ref="D113:E113"/>
    <mergeCell ref="A134:A154"/>
    <mergeCell ref="B134:B137"/>
    <mergeCell ref="D134:E134"/>
    <mergeCell ref="D135:E135"/>
    <mergeCell ref="D136:E136"/>
    <mergeCell ref="C123:C128"/>
    <mergeCell ref="D123:E123"/>
    <mergeCell ref="D124:E124"/>
    <mergeCell ref="D125:E125"/>
    <mergeCell ref="D126:E126"/>
    <mergeCell ref="D127:E127"/>
    <mergeCell ref="D128:E128"/>
    <mergeCell ref="D137:E137"/>
    <mergeCell ref="D146:E146"/>
    <mergeCell ref="B147:B153"/>
    <mergeCell ref="D147:E147"/>
    <mergeCell ref="D150:E150"/>
    <mergeCell ref="D153:E153"/>
    <mergeCell ref="C129:E129"/>
    <mergeCell ref="D130:E130"/>
    <mergeCell ref="D100:E100"/>
    <mergeCell ref="D101:E101"/>
    <mergeCell ref="D102:E102"/>
    <mergeCell ref="D105:E105"/>
    <mergeCell ref="D106:E106"/>
    <mergeCell ref="D107:E107"/>
    <mergeCell ref="A93:A133"/>
    <mergeCell ref="B93:B133"/>
    <mergeCell ref="D93:E93"/>
    <mergeCell ref="D94:E94"/>
    <mergeCell ref="C95:E95"/>
    <mergeCell ref="D96:E96"/>
    <mergeCell ref="D97:E97"/>
    <mergeCell ref="C98:C100"/>
    <mergeCell ref="D98:E98"/>
    <mergeCell ref="D99:E99"/>
    <mergeCell ref="C114:C120"/>
    <mergeCell ref="D114:E114"/>
    <mergeCell ref="D117:E117"/>
    <mergeCell ref="D120:E120"/>
    <mergeCell ref="D121:E121"/>
    <mergeCell ref="D122:E122"/>
    <mergeCell ref="D108:E108"/>
    <mergeCell ref="D109:E109"/>
    <mergeCell ref="D50:E50"/>
    <mergeCell ref="D51:E51"/>
    <mergeCell ref="D87:E87"/>
    <mergeCell ref="C88:E88"/>
    <mergeCell ref="D89:E89"/>
    <mergeCell ref="D90:E90"/>
    <mergeCell ref="D91:E91"/>
    <mergeCell ref="D92:E92"/>
    <mergeCell ref="D73:E73"/>
    <mergeCell ref="D74:E74"/>
    <mergeCell ref="D75:E75"/>
    <mergeCell ref="D76:E76"/>
    <mergeCell ref="D77:E77"/>
    <mergeCell ref="D78:E78"/>
    <mergeCell ref="A52:A92"/>
    <mergeCell ref="B52:B92"/>
    <mergeCell ref="D54:E54"/>
    <mergeCell ref="D55:E55"/>
    <mergeCell ref="D56:E56"/>
    <mergeCell ref="D37:E37"/>
    <mergeCell ref="B38:E38"/>
    <mergeCell ref="A39:A51"/>
    <mergeCell ref="C39:E39"/>
    <mergeCell ref="B40:B51"/>
    <mergeCell ref="C40:E40"/>
    <mergeCell ref="D41:E41"/>
    <mergeCell ref="D42:E42"/>
    <mergeCell ref="D43:E43"/>
    <mergeCell ref="D46:E46"/>
    <mergeCell ref="D57:E57"/>
    <mergeCell ref="D58:E58"/>
    <mergeCell ref="D59:E59"/>
    <mergeCell ref="D66:E66"/>
    <mergeCell ref="D71:E71"/>
    <mergeCell ref="D72:E72"/>
    <mergeCell ref="D47:E47"/>
    <mergeCell ref="D48:E48"/>
    <mergeCell ref="D49:E49"/>
    <mergeCell ref="A1:D1"/>
    <mergeCell ref="A2:D2"/>
    <mergeCell ref="A3:D3"/>
    <mergeCell ref="A8:B8"/>
    <mergeCell ref="B10:E10"/>
    <mergeCell ref="A11:A37"/>
    <mergeCell ref="C11:E11"/>
    <mergeCell ref="B12:B22"/>
    <mergeCell ref="D12:E12"/>
    <mergeCell ref="D17:E17"/>
    <mergeCell ref="B32:B36"/>
    <mergeCell ref="D32:E32"/>
    <mergeCell ref="D33:E33"/>
    <mergeCell ref="D34:E34"/>
    <mergeCell ref="D35:E35"/>
    <mergeCell ref="D36:E36"/>
    <mergeCell ref="D18:E18"/>
    <mergeCell ref="C19:C20"/>
    <mergeCell ref="D21:E21"/>
    <mergeCell ref="D22:E22"/>
    <mergeCell ref="D23:E23"/>
    <mergeCell ref="D31:E31"/>
  </mergeCells>
  <pageMargins left="0.25" right="0" top="0.196850393700787" bottom="0.196850393700787" header="0.31496062992126" footer="0.3149606299212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3"/>
  <sheetViews>
    <sheetView workbookViewId="0">
      <selection activeCell="P15" sqref="P15"/>
    </sheetView>
  </sheetViews>
  <sheetFormatPr defaultRowHeight="12.75" x14ac:dyDescent="0.2"/>
  <cols>
    <col min="1" max="1" width="5" style="11"/>
    <col min="2" max="2" width="2.28515625" style="564" customWidth="1"/>
    <col min="3" max="3" width="3" style="564" customWidth="1"/>
    <col min="4" max="4" width="7.85546875" style="564" customWidth="1"/>
    <col min="5" max="5" width="44.28515625" style="564" customWidth="1"/>
    <col min="6" max="6" width="3.7109375" style="564" customWidth="1"/>
    <col min="7" max="7" width="10.42578125" style="564" customWidth="1"/>
    <col min="8" max="8" width="11.42578125" style="564" customWidth="1"/>
    <col min="9" max="9" width="7.7109375" style="565" customWidth="1"/>
    <col min="10" max="10" width="11.28515625" style="564" customWidth="1"/>
    <col min="11" max="11" width="11.42578125" style="564" customWidth="1"/>
    <col min="12" max="12" width="7.7109375" style="11" customWidth="1"/>
    <col min="13" max="13" width="9.7109375" style="11" customWidth="1"/>
    <col min="14" max="16384" width="9.140625" style="564"/>
  </cols>
  <sheetData>
    <row r="2" spans="1:13" x14ac:dyDescent="0.2">
      <c r="B2" s="860" t="s">
        <v>0</v>
      </c>
      <c r="C2" s="860"/>
      <c r="D2" s="860"/>
      <c r="E2" s="860"/>
    </row>
    <row r="3" spans="1:13" x14ac:dyDescent="0.2">
      <c r="B3" s="860" t="s">
        <v>1</v>
      </c>
      <c r="C3" s="860"/>
      <c r="D3" s="860"/>
      <c r="E3" s="860"/>
      <c r="L3" s="566" t="s">
        <v>10</v>
      </c>
    </row>
    <row r="4" spans="1:13" x14ac:dyDescent="0.2">
      <c r="B4" s="860" t="s">
        <v>2</v>
      </c>
      <c r="C4" s="860"/>
      <c r="D4" s="860"/>
      <c r="E4" s="860"/>
    </row>
    <row r="5" spans="1:13" ht="15.75" x14ac:dyDescent="0.2">
      <c r="B5" s="567"/>
      <c r="C5" s="567"/>
      <c r="D5" s="567"/>
      <c r="E5" s="861" t="s">
        <v>3</v>
      </c>
      <c r="F5" s="861"/>
      <c r="G5" s="861"/>
      <c r="H5" s="861"/>
      <c r="I5" s="861"/>
      <c r="J5" s="861"/>
      <c r="K5" s="861"/>
    </row>
    <row r="6" spans="1:13" ht="15.75" x14ac:dyDescent="0.2">
      <c r="B6" s="567"/>
      <c r="C6" s="567"/>
      <c r="D6" s="567"/>
      <c r="E6" s="861" t="s">
        <v>696</v>
      </c>
      <c r="F6" s="861"/>
      <c r="G6" s="861"/>
      <c r="H6" s="861"/>
      <c r="I6" s="861"/>
      <c r="J6" s="861"/>
    </row>
    <row r="7" spans="1:13" x14ac:dyDescent="0.2">
      <c r="B7" s="567"/>
      <c r="C7" s="567"/>
      <c r="D7" s="567"/>
      <c r="E7" s="11"/>
      <c r="F7" s="11"/>
      <c r="G7" s="11"/>
      <c r="H7" s="11"/>
      <c r="I7" s="11"/>
      <c r="J7" s="11"/>
    </row>
    <row r="8" spans="1:13" x14ac:dyDescent="0.2">
      <c r="J8" s="568">
        <v>1.0249999999999999</v>
      </c>
      <c r="K8" s="568">
        <v>1.0229999999999999</v>
      </c>
    </row>
    <row r="9" spans="1:13" ht="13.5" thickBot="1" x14ac:dyDescent="0.25">
      <c r="L9" s="569" t="s">
        <v>29</v>
      </c>
    </row>
    <row r="10" spans="1:13" s="11" customFormat="1" ht="13.5" thickBot="1" x14ac:dyDescent="0.25">
      <c r="A10" s="868"/>
      <c r="B10" s="870"/>
      <c r="C10" s="869"/>
      <c r="D10" s="868" t="s">
        <v>15</v>
      </c>
      <c r="E10" s="869"/>
      <c r="F10" s="864" t="s">
        <v>110</v>
      </c>
      <c r="G10" s="874" t="s">
        <v>662</v>
      </c>
      <c r="H10" s="864" t="s">
        <v>690</v>
      </c>
      <c r="I10" s="862" t="s">
        <v>111</v>
      </c>
      <c r="J10" s="864" t="s">
        <v>663</v>
      </c>
      <c r="K10" s="864" t="s">
        <v>664</v>
      </c>
      <c r="L10" s="866" t="s">
        <v>111</v>
      </c>
      <c r="M10" s="867"/>
    </row>
    <row r="11" spans="1:13" s="11" customFormat="1" ht="51" customHeight="1" thickBot="1" x14ac:dyDescent="0.25">
      <c r="A11" s="871"/>
      <c r="B11" s="872"/>
      <c r="C11" s="873"/>
      <c r="D11" s="871"/>
      <c r="E11" s="873"/>
      <c r="F11" s="865"/>
      <c r="G11" s="875"/>
      <c r="H11" s="865"/>
      <c r="I11" s="863"/>
      <c r="J11" s="865"/>
      <c r="K11" s="865"/>
      <c r="L11" s="10" t="s">
        <v>49</v>
      </c>
      <c r="M11" s="10" t="s">
        <v>50</v>
      </c>
    </row>
    <row r="12" spans="1:13" ht="13.5" thickBot="1" x14ac:dyDescent="0.25">
      <c r="A12" s="545" t="s">
        <v>30</v>
      </c>
      <c r="B12" s="868" t="s">
        <v>4</v>
      </c>
      <c r="C12" s="869"/>
      <c r="D12" s="868" t="s">
        <v>21</v>
      </c>
      <c r="E12" s="869"/>
      <c r="F12" s="545">
        <v>3</v>
      </c>
      <c r="G12" s="545">
        <v>4</v>
      </c>
      <c r="H12" s="545">
        <v>5</v>
      </c>
      <c r="I12" s="570" t="s">
        <v>48</v>
      </c>
      <c r="J12" s="545" t="s">
        <v>5</v>
      </c>
      <c r="K12" s="545">
        <v>8</v>
      </c>
      <c r="L12" s="545" t="s">
        <v>26</v>
      </c>
      <c r="M12" s="545">
        <v>10</v>
      </c>
    </row>
    <row r="13" spans="1:13" s="577" customFormat="1" ht="15.75" thickBot="1" x14ac:dyDescent="0.25">
      <c r="A13" s="571" t="s">
        <v>112</v>
      </c>
      <c r="B13" s="777"/>
      <c r="C13" s="777"/>
      <c r="D13" s="876" t="s">
        <v>394</v>
      </c>
      <c r="E13" s="876"/>
      <c r="F13" s="572">
        <v>1</v>
      </c>
      <c r="G13" s="573">
        <f>G14+G17+G18</f>
        <v>142405.57900000003</v>
      </c>
      <c r="H13" s="573">
        <f>H14+H17+H18</f>
        <v>138839.55376400001</v>
      </c>
      <c r="I13" s="574">
        <f>H13/G13</f>
        <v>0.97495866902798789</v>
      </c>
      <c r="J13" s="573">
        <f>H13*$J$8</f>
        <v>142310.54260809999</v>
      </c>
      <c r="K13" s="573">
        <f>J13*1.023</f>
        <v>145583.68508808626</v>
      </c>
      <c r="L13" s="575">
        <f>J13/H13</f>
        <v>1.0249999999999999</v>
      </c>
      <c r="M13" s="576">
        <f>K13/J13</f>
        <v>1.0229999999999999</v>
      </c>
    </row>
    <row r="14" spans="1:13" s="582" customFormat="1" ht="14.25" x14ac:dyDescent="0.2">
      <c r="A14" s="1067"/>
      <c r="B14" s="778" t="s">
        <v>4</v>
      </c>
      <c r="C14" s="778"/>
      <c r="D14" s="878" t="s">
        <v>113</v>
      </c>
      <c r="E14" s="878"/>
      <c r="F14" s="578">
        <f>F13+1</f>
        <v>2</v>
      </c>
      <c r="G14" s="579">
        <f>'anexa 2'!H11</f>
        <v>140617.53400000001</v>
      </c>
      <c r="H14" s="579">
        <f>'anexa 2'!I11</f>
        <v>137889.49609</v>
      </c>
      <c r="I14" s="580">
        <f t="shared" ref="I14:I67" si="0">H14/G14</f>
        <v>0.98059958930868452</v>
      </c>
      <c r="J14" s="579">
        <f>H14*$J$8</f>
        <v>141336.73349225</v>
      </c>
      <c r="K14" s="579">
        <f t="shared" ref="K14:K32" si="1">J14*1.023</f>
        <v>144587.47836257174</v>
      </c>
      <c r="L14" s="581">
        <f>J14/H14</f>
        <v>1.0249999999999999</v>
      </c>
      <c r="M14" s="1068">
        <f>K14/J14</f>
        <v>1.0229999999999999</v>
      </c>
    </row>
    <row r="15" spans="1:13" x14ac:dyDescent="0.2">
      <c r="A15" s="1069"/>
      <c r="B15" s="771"/>
      <c r="C15" s="771"/>
      <c r="D15" s="772" t="s">
        <v>27</v>
      </c>
      <c r="E15" s="585" t="s">
        <v>392</v>
      </c>
      <c r="F15" s="586">
        <f t="shared" ref="F15:F45" si="2">F14+1</f>
        <v>3</v>
      </c>
      <c r="G15" s="185"/>
      <c r="H15" s="185"/>
      <c r="I15" s="587"/>
      <c r="J15" s="185">
        <f t="shared" ref="J15:J32" si="3">H15*$J$8</f>
        <v>0</v>
      </c>
      <c r="K15" s="185">
        <f t="shared" si="1"/>
        <v>0</v>
      </c>
      <c r="L15" s="588"/>
      <c r="M15" s="1070"/>
    </row>
    <row r="16" spans="1:13" x14ac:dyDescent="0.2">
      <c r="A16" s="1069"/>
      <c r="B16" s="771"/>
      <c r="C16" s="771"/>
      <c r="D16" s="772" t="s">
        <v>38</v>
      </c>
      <c r="E16" s="585" t="s">
        <v>393</v>
      </c>
      <c r="F16" s="586">
        <f t="shared" si="2"/>
        <v>4</v>
      </c>
      <c r="G16" s="185"/>
      <c r="H16" s="185"/>
      <c r="I16" s="587"/>
      <c r="J16" s="185">
        <f t="shared" si="3"/>
        <v>0</v>
      </c>
      <c r="K16" s="185">
        <f t="shared" si="1"/>
        <v>0</v>
      </c>
      <c r="L16" s="588"/>
      <c r="M16" s="1070"/>
    </row>
    <row r="17" spans="1:13" s="582" customFormat="1" ht="14.25" x14ac:dyDescent="0.2">
      <c r="A17" s="1069"/>
      <c r="B17" s="776" t="s">
        <v>21</v>
      </c>
      <c r="C17" s="776"/>
      <c r="D17" s="879" t="s">
        <v>114</v>
      </c>
      <c r="E17" s="879"/>
      <c r="F17" s="589">
        <f t="shared" si="2"/>
        <v>5</v>
      </c>
      <c r="G17" s="590">
        <f>'anexa 2'!H31</f>
        <v>1788.0450000000001</v>
      </c>
      <c r="H17" s="590">
        <f>'anexa 2'!I31</f>
        <v>950.05767400000002</v>
      </c>
      <c r="I17" s="591">
        <f t="shared" si="0"/>
        <v>0.53133879404601114</v>
      </c>
      <c r="J17" s="590">
        <f t="shared" si="3"/>
        <v>973.8091158499999</v>
      </c>
      <c r="K17" s="590">
        <f t="shared" si="1"/>
        <v>996.20672551454982</v>
      </c>
      <c r="L17" s="592">
        <f>J17/H17</f>
        <v>1.0249999999999999</v>
      </c>
      <c r="M17" s="1071">
        <f>K17/J17</f>
        <v>1.0229999999999999</v>
      </c>
    </row>
    <row r="18" spans="1:13" s="582" customFormat="1" ht="15" thickBot="1" x14ac:dyDescent="0.25">
      <c r="A18" s="1072"/>
      <c r="B18" s="779" t="s">
        <v>17</v>
      </c>
      <c r="C18" s="779"/>
      <c r="D18" s="880" t="s">
        <v>115</v>
      </c>
      <c r="E18" s="880"/>
      <c r="F18" s="593">
        <f t="shared" si="2"/>
        <v>6</v>
      </c>
      <c r="G18" s="594">
        <f>'anexa 2'!H37</f>
        <v>0</v>
      </c>
      <c r="H18" s="594">
        <f>'anexa 2'!I37</f>
        <v>0</v>
      </c>
      <c r="I18" s="595"/>
      <c r="J18" s="594">
        <f t="shared" si="3"/>
        <v>0</v>
      </c>
      <c r="K18" s="594">
        <f t="shared" si="1"/>
        <v>0</v>
      </c>
      <c r="L18" s="596"/>
      <c r="M18" s="1073"/>
    </row>
    <row r="19" spans="1:13" s="577" customFormat="1" ht="15.75" thickBot="1" x14ac:dyDescent="0.25">
      <c r="A19" s="571" t="s">
        <v>23</v>
      </c>
      <c r="B19" s="777"/>
      <c r="C19" s="777"/>
      <c r="D19" s="881" t="s">
        <v>395</v>
      </c>
      <c r="E19" s="881"/>
      <c r="F19" s="572">
        <f t="shared" si="2"/>
        <v>7</v>
      </c>
      <c r="G19" s="573">
        <f>G20+G32+G33</f>
        <v>108845.47463452</v>
      </c>
      <c r="H19" s="573">
        <f>H20+H32+H33</f>
        <v>126930.33485888</v>
      </c>
      <c r="I19" s="574">
        <f t="shared" si="0"/>
        <v>1.1661516961094167</v>
      </c>
      <c r="J19" s="573">
        <f t="shared" si="3"/>
        <v>130103.59323035199</v>
      </c>
      <c r="K19" s="573">
        <f t="shared" si="1"/>
        <v>133095.97587465009</v>
      </c>
      <c r="L19" s="575">
        <f t="shared" ref="L19:L26" si="4">J19/H19</f>
        <v>1.0249999999999999</v>
      </c>
      <c r="M19" s="576">
        <f t="shared" ref="M19:M26" si="5">K19/J19</f>
        <v>1.0229999999999999</v>
      </c>
    </row>
    <row r="20" spans="1:13" ht="15" customHeight="1" x14ac:dyDescent="0.2">
      <c r="A20" s="1067"/>
      <c r="B20" s="775" t="s">
        <v>4</v>
      </c>
      <c r="C20" s="775"/>
      <c r="D20" s="882" t="s">
        <v>116</v>
      </c>
      <c r="E20" s="882"/>
      <c r="F20" s="598">
        <f t="shared" si="2"/>
        <v>8</v>
      </c>
      <c r="G20" s="197">
        <f>'anexa 2'!H39</f>
        <v>107056.39763451999</v>
      </c>
      <c r="H20" s="197">
        <f>'anexa 2'!I39</f>
        <v>125120.33485888</v>
      </c>
      <c r="I20" s="599">
        <f t="shared" si="0"/>
        <v>1.1687329073599928</v>
      </c>
      <c r="J20" s="197">
        <f t="shared" si="3"/>
        <v>128248.34323035199</v>
      </c>
      <c r="K20" s="197">
        <f t="shared" si="1"/>
        <v>131198.05512465007</v>
      </c>
      <c r="L20" s="600">
        <f t="shared" si="4"/>
        <v>1.0249999999999999</v>
      </c>
      <c r="M20" s="1074">
        <f t="shared" si="5"/>
        <v>1.0229999999999999</v>
      </c>
    </row>
    <row r="21" spans="1:13" x14ac:dyDescent="0.2">
      <c r="A21" s="1069"/>
      <c r="B21" s="858"/>
      <c r="C21" s="771" t="s">
        <v>117</v>
      </c>
      <c r="D21" s="858" t="s">
        <v>118</v>
      </c>
      <c r="E21" s="858"/>
      <c r="F21" s="586">
        <f t="shared" si="2"/>
        <v>9</v>
      </c>
      <c r="G21" s="185">
        <f>'anexa 2'!H40</f>
        <v>43553.966</v>
      </c>
      <c r="H21" s="185">
        <f>'anexa 2'!I40</f>
        <v>55297.567430000003</v>
      </c>
      <c r="I21" s="587">
        <f t="shared" si="0"/>
        <v>1.2696333424607074</v>
      </c>
      <c r="J21" s="185">
        <f t="shared" si="3"/>
        <v>56680.006615749997</v>
      </c>
      <c r="K21" s="185">
        <f t="shared" si="1"/>
        <v>57983.646767912243</v>
      </c>
      <c r="L21" s="588">
        <f t="shared" si="4"/>
        <v>1.0249999999999999</v>
      </c>
      <c r="M21" s="1070">
        <f t="shared" si="5"/>
        <v>1.0229999999999999</v>
      </c>
    </row>
    <row r="22" spans="1:13" x14ac:dyDescent="0.2">
      <c r="A22" s="1069"/>
      <c r="B22" s="858"/>
      <c r="C22" s="771" t="s">
        <v>119</v>
      </c>
      <c r="D22" s="858" t="s">
        <v>120</v>
      </c>
      <c r="E22" s="858"/>
      <c r="F22" s="586">
        <f t="shared" si="2"/>
        <v>10</v>
      </c>
      <c r="G22" s="185">
        <f>'anexa 2'!H88</f>
        <v>7611.5870000000004</v>
      </c>
      <c r="H22" s="185">
        <f>'anexa 2'!I88</f>
        <v>13805.724490000001</v>
      </c>
      <c r="I22" s="587">
        <f t="shared" si="0"/>
        <v>1.813777401480138</v>
      </c>
      <c r="J22" s="185">
        <f t="shared" si="3"/>
        <v>14150.867602249999</v>
      </c>
      <c r="K22" s="185">
        <f t="shared" si="1"/>
        <v>14476.337557101748</v>
      </c>
      <c r="L22" s="588">
        <f t="shared" si="4"/>
        <v>1.0249999999999999</v>
      </c>
      <c r="M22" s="1070">
        <f t="shared" si="5"/>
        <v>1.0229999999999999</v>
      </c>
    </row>
    <row r="23" spans="1:13" ht="15.75" customHeight="1" x14ac:dyDescent="0.2">
      <c r="A23" s="1069"/>
      <c r="B23" s="858"/>
      <c r="C23" s="771" t="s">
        <v>121</v>
      </c>
      <c r="D23" s="858" t="s">
        <v>122</v>
      </c>
      <c r="E23" s="858"/>
      <c r="F23" s="586">
        <f t="shared" si="2"/>
        <v>11</v>
      </c>
      <c r="G23" s="185">
        <f>'anexa 2'!H95</f>
        <v>44830.120634520004</v>
      </c>
      <c r="H23" s="185">
        <f>'anexa 2'!I95</f>
        <v>46664.439328879998</v>
      </c>
      <c r="I23" s="587">
        <f t="shared" si="0"/>
        <v>1.040917103688263</v>
      </c>
      <c r="J23" s="185">
        <f t="shared" si="3"/>
        <v>47831.050312101994</v>
      </c>
      <c r="K23" s="185">
        <f t="shared" si="1"/>
        <v>48931.164469280338</v>
      </c>
      <c r="L23" s="588">
        <f t="shared" si="4"/>
        <v>1.0249999999999999</v>
      </c>
      <c r="M23" s="1070">
        <f t="shared" si="5"/>
        <v>1.0229999999999999</v>
      </c>
    </row>
    <row r="24" spans="1:13" ht="15.75" customHeight="1" x14ac:dyDescent="0.2">
      <c r="A24" s="1069"/>
      <c r="B24" s="858"/>
      <c r="C24" s="771"/>
      <c r="D24" s="781" t="s">
        <v>396</v>
      </c>
      <c r="E24" s="780" t="s">
        <v>397</v>
      </c>
      <c r="F24" s="586">
        <f t="shared" si="2"/>
        <v>12</v>
      </c>
      <c r="G24" s="185">
        <f>SUM(G25:G26)</f>
        <v>35335.885999999999</v>
      </c>
      <c r="H24" s="185">
        <f>SUM(H25:H26)</f>
        <v>37486.212</v>
      </c>
      <c r="I24" s="587">
        <f t="shared" si="0"/>
        <v>1.0608538866126069</v>
      </c>
      <c r="J24" s="185">
        <f t="shared" si="3"/>
        <v>38423.367299999998</v>
      </c>
      <c r="K24" s="185">
        <f t="shared" si="1"/>
        <v>39307.104747899997</v>
      </c>
      <c r="L24" s="588">
        <f t="shared" si="4"/>
        <v>1.0249999999999999</v>
      </c>
      <c r="M24" s="1070">
        <f t="shared" si="5"/>
        <v>1.0229999999999999</v>
      </c>
    </row>
    <row r="25" spans="1:13" x14ac:dyDescent="0.2">
      <c r="A25" s="1069"/>
      <c r="B25" s="858"/>
      <c r="C25" s="858"/>
      <c r="D25" s="771" t="s">
        <v>46</v>
      </c>
      <c r="E25" s="771" t="s">
        <v>123</v>
      </c>
      <c r="F25" s="586">
        <f t="shared" si="2"/>
        <v>13</v>
      </c>
      <c r="G25" s="185">
        <f>'anexa 2'!H97</f>
        <v>30813.977999999999</v>
      </c>
      <c r="H25" s="185">
        <f>'anexa 2'!I97</f>
        <v>32620.337</v>
      </c>
      <c r="I25" s="587">
        <f t="shared" si="0"/>
        <v>1.0586214152551157</v>
      </c>
      <c r="J25" s="185">
        <f t="shared" si="3"/>
        <v>33435.845425</v>
      </c>
      <c r="K25" s="185">
        <f t="shared" si="1"/>
        <v>34204.869869774993</v>
      </c>
      <c r="L25" s="588">
        <f t="shared" si="4"/>
        <v>1.0249999999999999</v>
      </c>
      <c r="M25" s="1070">
        <f t="shared" si="5"/>
        <v>1.0229999999999999</v>
      </c>
    </row>
    <row r="26" spans="1:13" x14ac:dyDescent="0.2">
      <c r="A26" s="1069"/>
      <c r="B26" s="858"/>
      <c r="C26" s="858"/>
      <c r="D26" s="771" t="s">
        <v>67</v>
      </c>
      <c r="E26" s="771" t="s">
        <v>73</v>
      </c>
      <c r="F26" s="586">
        <f t="shared" si="2"/>
        <v>14</v>
      </c>
      <c r="G26" s="185">
        <f>'anexa 2'!H101</f>
        <v>4521.9080000000004</v>
      </c>
      <c r="H26" s="185">
        <f>'anexa 2'!I101</f>
        <v>4865.875</v>
      </c>
      <c r="I26" s="587">
        <f t="shared" si="0"/>
        <v>1.0760667841981746</v>
      </c>
      <c r="J26" s="185">
        <f t="shared" si="3"/>
        <v>4987.5218749999995</v>
      </c>
      <c r="K26" s="185">
        <f t="shared" si="1"/>
        <v>5102.2348781249993</v>
      </c>
      <c r="L26" s="588">
        <f t="shared" si="4"/>
        <v>1.0249999999999999</v>
      </c>
      <c r="M26" s="1070">
        <f t="shared" si="5"/>
        <v>1.0229999999999999</v>
      </c>
    </row>
    <row r="27" spans="1:13" x14ac:dyDescent="0.2">
      <c r="A27" s="1069"/>
      <c r="B27" s="858"/>
      <c r="C27" s="858"/>
      <c r="D27" s="771" t="s">
        <v>124</v>
      </c>
      <c r="E27" s="771" t="s">
        <v>125</v>
      </c>
      <c r="F27" s="586">
        <f t="shared" si="2"/>
        <v>15</v>
      </c>
      <c r="G27" s="185">
        <f>'anexa 2'!H109</f>
        <v>0</v>
      </c>
      <c r="H27" s="185">
        <f>'anexa 2'!I109</f>
        <v>0</v>
      </c>
      <c r="I27" s="587"/>
      <c r="J27" s="185">
        <f t="shared" si="3"/>
        <v>0</v>
      </c>
      <c r="K27" s="185">
        <f>J27*1.023</f>
        <v>0</v>
      </c>
      <c r="L27" s="588"/>
      <c r="M27" s="1070"/>
    </row>
    <row r="28" spans="1:13" ht="25.5" x14ac:dyDescent="0.2">
      <c r="A28" s="1069"/>
      <c r="B28" s="858"/>
      <c r="C28" s="858"/>
      <c r="D28" s="771"/>
      <c r="E28" s="774" t="s">
        <v>25</v>
      </c>
      <c r="F28" s="586">
        <f t="shared" si="2"/>
        <v>16</v>
      </c>
      <c r="G28" s="185">
        <f>'anexa 2'!H110</f>
        <v>0</v>
      </c>
      <c r="H28" s="185">
        <f>'anexa 2'!I110</f>
        <v>0</v>
      </c>
      <c r="I28" s="587"/>
      <c r="J28" s="185">
        <f t="shared" si="3"/>
        <v>0</v>
      </c>
      <c r="K28" s="185">
        <f t="shared" si="1"/>
        <v>0</v>
      </c>
      <c r="L28" s="588"/>
      <c r="M28" s="1070"/>
    </row>
    <row r="29" spans="1:13" ht="25.5" customHeight="1" x14ac:dyDescent="0.2">
      <c r="A29" s="1069"/>
      <c r="B29" s="858"/>
      <c r="C29" s="858"/>
      <c r="D29" s="771" t="s">
        <v>63</v>
      </c>
      <c r="E29" s="772" t="s">
        <v>398</v>
      </c>
      <c r="F29" s="586">
        <f t="shared" si="2"/>
        <v>17</v>
      </c>
      <c r="G29" s="185">
        <f>'anexa 2'!H113</f>
        <v>557.15499999999997</v>
      </c>
      <c r="H29" s="185">
        <f>'anexa 2'!I113</f>
        <v>686.55499999999995</v>
      </c>
      <c r="I29" s="587">
        <f t="shared" si="0"/>
        <v>1.2322513483680484</v>
      </c>
      <c r="J29" s="185">
        <f t="shared" si="3"/>
        <v>703.71887499999991</v>
      </c>
      <c r="K29" s="185">
        <f t="shared" si="1"/>
        <v>719.9044091249998</v>
      </c>
      <c r="L29" s="588">
        <f>J29/H29</f>
        <v>1.0249999999999999</v>
      </c>
      <c r="M29" s="1070">
        <f>K29/J29</f>
        <v>1.0229999999999999</v>
      </c>
    </row>
    <row r="30" spans="1:13" ht="25.5" x14ac:dyDescent="0.2">
      <c r="A30" s="1069"/>
      <c r="B30" s="858"/>
      <c r="C30" s="858"/>
      <c r="D30" s="771" t="s">
        <v>68</v>
      </c>
      <c r="E30" s="774" t="s">
        <v>69</v>
      </c>
      <c r="F30" s="586">
        <f t="shared" si="2"/>
        <v>18</v>
      </c>
      <c r="G30" s="185">
        <f>'anexa 2'!H122</f>
        <v>8937.0796345199997</v>
      </c>
      <c r="H30" s="185">
        <f>'anexa 2'!I122</f>
        <v>8491.6723288800004</v>
      </c>
      <c r="I30" s="587">
        <f t="shared" si="0"/>
        <v>0.9501618734693168</v>
      </c>
      <c r="J30" s="185">
        <f t="shared" si="3"/>
        <v>8703.9641371019989</v>
      </c>
      <c r="K30" s="185">
        <f t="shared" si="1"/>
        <v>8904.1553122553432</v>
      </c>
      <c r="L30" s="588">
        <f>J30/H30</f>
        <v>1.0249999999999999</v>
      </c>
      <c r="M30" s="1070">
        <f>K30/J30</f>
        <v>1.0229999999999999</v>
      </c>
    </row>
    <row r="31" spans="1:13" x14ac:dyDescent="0.2">
      <c r="A31" s="1069"/>
      <c r="B31" s="858"/>
      <c r="C31" s="771" t="s">
        <v>126</v>
      </c>
      <c r="D31" s="858" t="s">
        <v>127</v>
      </c>
      <c r="E31" s="858"/>
      <c r="F31" s="586">
        <f t="shared" si="2"/>
        <v>19</v>
      </c>
      <c r="G31" s="185">
        <f>'anexa 2'!H129</f>
        <v>11060.724</v>
      </c>
      <c r="H31" s="185">
        <f>'anexa 2'!I129</f>
        <v>9352.6036100000001</v>
      </c>
      <c r="I31" s="587">
        <f t="shared" si="0"/>
        <v>0.84556884431796686</v>
      </c>
      <c r="J31" s="185">
        <f t="shared" si="3"/>
        <v>9586.4187002499984</v>
      </c>
      <c r="K31" s="185">
        <f t="shared" si="1"/>
        <v>9806.9063303557468</v>
      </c>
      <c r="L31" s="588">
        <f>J31/H31</f>
        <v>1.0249999999999999</v>
      </c>
      <c r="M31" s="1070">
        <f>K31/J31</f>
        <v>1.0229999999999999</v>
      </c>
    </row>
    <row r="32" spans="1:13" s="582" customFormat="1" ht="14.25" x14ac:dyDescent="0.2">
      <c r="A32" s="1069"/>
      <c r="B32" s="776" t="s">
        <v>21</v>
      </c>
      <c r="C32" s="776"/>
      <c r="D32" s="879" t="s">
        <v>128</v>
      </c>
      <c r="E32" s="879"/>
      <c r="F32" s="589">
        <f t="shared" si="2"/>
        <v>20</v>
      </c>
      <c r="G32" s="590">
        <f>'anexa 2'!H146</f>
        <v>1789.077</v>
      </c>
      <c r="H32" s="590">
        <f>'anexa 2'!I146</f>
        <v>1810</v>
      </c>
      <c r="I32" s="591">
        <f t="shared" si="0"/>
        <v>1.0116948571805462</v>
      </c>
      <c r="J32" s="590">
        <f t="shared" si="3"/>
        <v>1855.2499999999998</v>
      </c>
      <c r="K32" s="590">
        <f t="shared" si="1"/>
        <v>1897.9207499999995</v>
      </c>
      <c r="L32" s="592">
        <f>J32/H32</f>
        <v>1.0249999999999999</v>
      </c>
      <c r="M32" s="1071">
        <f>K32/J32</f>
        <v>1.0229999999999999</v>
      </c>
    </row>
    <row r="33" spans="1:14" s="582" customFormat="1" ht="14.25" x14ac:dyDescent="0.2">
      <c r="A33" s="1069"/>
      <c r="B33" s="776" t="s">
        <v>17</v>
      </c>
      <c r="C33" s="776"/>
      <c r="D33" s="879" t="s">
        <v>129</v>
      </c>
      <c r="E33" s="879"/>
      <c r="F33" s="589">
        <f t="shared" si="2"/>
        <v>21</v>
      </c>
      <c r="G33" s="590">
        <f>'anexa 2'!H154</f>
        <v>0</v>
      </c>
      <c r="H33" s="590">
        <f>'anexa 2'!I154</f>
        <v>0</v>
      </c>
      <c r="I33" s="591"/>
      <c r="J33" s="590">
        <f t="shared" ref="J33:J39" si="6">H33*1.03</f>
        <v>0</v>
      </c>
      <c r="K33" s="590">
        <f>J33*1.02</f>
        <v>0</v>
      </c>
      <c r="L33" s="592"/>
      <c r="M33" s="1071"/>
    </row>
    <row r="34" spans="1:14" s="605" customFormat="1" ht="15" x14ac:dyDescent="0.2">
      <c r="A34" s="1075" t="s">
        <v>130</v>
      </c>
      <c r="B34" s="773"/>
      <c r="C34" s="773"/>
      <c r="D34" s="857" t="s">
        <v>131</v>
      </c>
      <c r="E34" s="857"/>
      <c r="F34" s="589">
        <f t="shared" si="2"/>
        <v>22</v>
      </c>
      <c r="G34" s="602">
        <f>G13-G19</f>
        <v>33560.104365480031</v>
      </c>
      <c r="H34" s="602">
        <f>H13-H19</f>
        <v>11909.218905120011</v>
      </c>
      <c r="I34" s="603">
        <f t="shared" si="0"/>
        <v>0.35486239182765622</v>
      </c>
      <c r="J34" s="602">
        <f>J13-J19</f>
        <v>12206.949377747995</v>
      </c>
      <c r="K34" s="602">
        <f>K13-K19</f>
        <v>12487.709213436174</v>
      </c>
      <c r="L34" s="604">
        <f>J34/H34</f>
        <v>1.0249999999999986</v>
      </c>
      <c r="M34" s="1076">
        <f>K34/J34</f>
        <v>1.0229999999999979</v>
      </c>
    </row>
    <row r="35" spans="1:14" s="605" customFormat="1" ht="15.75" customHeight="1" x14ac:dyDescent="0.2">
      <c r="A35" s="1075" t="s">
        <v>132</v>
      </c>
      <c r="B35" s="773"/>
      <c r="C35" s="773"/>
      <c r="D35" s="857" t="s">
        <v>133</v>
      </c>
      <c r="E35" s="857"/>
      <c r="F35" s="589">
        <f t="shared" si="2"/>
        <v>23</v>
      </c>
      <c r="G35" s="602">
        <f>'anexa 2'!H158</f>
        <v>6542.3747784768002</v>
      </c>
      <c r="H35" s="602">
        <f>'anexa 2'!I158</f>
        <v>2399.9524008191997</v>
      </c>
      <c r="I35" s="603">
        <f t="shared" si="0"/>
        <v>0.36683199634398783</v>
      </c>
      <c r="J35" s="602">
        <f>H35*$J$8</f>
        <v>2459.9512108396793</v>
      </c>
      <c r="K35" s="602">
        <f>J35*1.023</f>
        <v>2516.5300886889918</v>
      </c>
      <c r="L35" s="604">
        <f>J35/H35</f>
        <v>1.0249999999999999</v>
      </c>
      <c r="M35" s="1076">
        <f>K35/J35</f>
        <v>1.0229999999999999</v>
      </c>
    </row>
    <row r="36" spans="1:14" s="605" customFormat="1" ht="29.25" customHeight="1" x14ac:dyDescent="0.2">
      <c r="A36" s="1075" t="s">
        <v>134</v>
      </c>
      <c r="B36" s="773"/>
      <c r="C36" s="773"/>
      <c r="D36" s="883" t="s">
        <v>70</v>
      </c>
      <c r="E36" s="883"/>
      <c r="F36" s="589">
        <f t="shared" si="2"/>
        <v>24</v>
      </c>
      <c r="G36" s="602">
        <f>G34-G35</f>
        <v>27017.729587003232</v>
      </c>
      <c r="H36" s="602">
        <f>H34-H35</f>
        <v>9509.266504300811</v>
      </c>
      <c r="I36" s="603">
        <f t="shared" si="0"/>
        <v>0.35196393811252019</v>
      </c>
      <c r="J36" s="602">
        <f>J34-J35</f>
        <v>9746.9981669083154</v>
      </c>
      <c r="K36" s="602">
        <f>K34-K35</f>
        <v>9971.179124747181</v>
      </c>
      <c r="L36" s="604">
        <f>J36/H36</f>
        <v>1.0249999999999984</v>
      </c>
      <c r="M36" s="1076">
        <f>K36/J36</f>
        <v>1.0229999999999975</v>
      </c>
    </row>
    <row r="37" spans="1:14" x14ac:dyDescent="0.2">
      <c r="A37" s="1069"/>
      <c r="B37" s="771" t="s">
        <v>4</v>
      </c>
      <c r="C37" s="771"/>
      <c r="D37" s="858" t="s">
        <v>135</v>
      </c>
      <c r="E37" s="858"/>
      <c r="F37" s="586">
        <f t="shared" si="2"/>
        <v>25</v>
      </c>
      <c r="G37" s="185">
        <f>G34*5%</f>
        <v>1678.0052182740017</v>
      </c>
      <c r="H37" s="185">
        <f>H36*5%</f>
        <v>475.46332521504058</v>
      </c>
      <c r="I37" s="587">
        <f t="shared" si="0"/>
        <v>0.28335032575411345</v>
      </c>
      <c r="J37" s="185">
        <f>J36*5%</f>
        <v>487.34990834541577</v>
      </c>
      <c r="K37" s="185">
        <f>K36*5%</f>
        <v>498.5589562373591</v>
      </c>
      <c r="L37" s="588">
        <f>J37/H37</f>
        <v>1.0249999999999984</v>
      </c>
      <c r="M37" s="1070">
        <f>K37/J37</f>
        <v>1.0229999999999975</v>
      </c>
      <c r="N37" s="606"/>
    </row>
    <row r="38" spans="1:14" ht="24.75" customHeight="1" x14ac:dyDescent="0.2">
      <c r="A38" s="1069"/>
      <c r="B38" s="771" t="s">
        <v>21</v>
      </c>
      <c r="C38" s="771"/>
      <c r="D38" s="859" t="s">
        <v>136</v>
      </c>
      <c r="E38" s="859"/>
      <c r="F38" s="586">
        <f t="shared" si="2"/>
        <v>26</v>
      </c>
      <c r="G38" s="185"/>
      <c r="H38" s="185"/>
      <c r="I38" s="587"/>
      <c r="J38" s="185">
        <f t="shared" si="6"/>
        <v>0</v>
      </c>
      <c r="K38" s="185">
        <f>J38*1.025</f>
        <v>0</v>
      </c>
      <c r="L38" s="588"/>
      <c r="M38" s="1070"/>
    </row>
    <row r="39" spans="1:14" ht="16.5" customHeight="1" x14ac:dyDescent="0.2">
      <c r="A39" s="1069"/>
      <c r="B39" s="771" t="s">
        <v>17</v>
      </c>
      <c r="C39" s="771"/>
      <c r="D39" s="858" t="s">
        <v>137</v>
      </c>
      <c r="E39" s="858"/>
      <c r="F39" s="586">
        <f t="shared" si="2"/>
        <v>27</v>
      </c>
      <c r="G39" s="185"/>
      <c r="H39" s="185"/>
      <c r="I39" s="587"/>
      <c r="J39" s="185">
        <f t="shared" si="6"/>
        <v>0</v>
      </c>
      <c r="K39" s="185">
        <f>J39*1.025</f>
        <v>0</v>
      </c>
      <c r="L39" s="588"/>
      <c r="M39" s="1070"/>
    </row>
    <row r="40" spans="1:14" ht="66.75" customHeight="1" x14ac:dyDescent="0.2">
      <c r="A40" s="1069"/>
      <c r="B40" s="771" t="s">
        <v>18</v>
      </c>
      <c r="C40" s="771"/>
      <c r="D40" s="859" t="s">
        <v>377</v>
      </c>
      <c r="E40" s="859"/>
      <c r="F40" s="586">
        <f t="shared" si="2"/>
        <v>28</v>
      </c>
      <c r="G40" s="185">
        <f>G36-G37</f>
        <v>25339.724368729232</v>
      </c>
      <c r="H40" s="185">
        <f>H36-H37</f>
        <v>9033.8031790857713</v>
      </c>
      <c r="I40" s="587">
        <f t="shared" si="0"/>
        <v>0.35650755500063908</v>
      </c>
      <c r="J40" s="185">
        <f>J36-J37</f>
        <v>9259.6482585629001</v>
      </c>
      <c r="K40" s="185">
        <f>K36-K37</f>
        <v>9472.6201685098222</v>
      </c>
      <c r="L40" s="588">
        <f>J40/H40</f>
        <v>1.0249999999999984</v>
      </c>
      <c r="M40" s="1070">
        <f>K40/J40</f>
        <v>1.0229999999999972</v>
      </c>
      <c r="N40" s="607"/>
    </row>
    <row r="41" spans="1:14" x14ac:dyDescent="0.2">
      <c r="A41" s="1069"/>
      <c r="B41" s="771" t="s">
        <v>24</v>
      </c>
      <c r="C41" s="771"/>
      <c r="D41" s="858" t="s">
        <v>138</v>
      </c>
      <c r="E41" s="858"/>
      <c r="F41" s="586">
        <f t="shared" si="2"/>
        <v>29</v>
      </c>
      <c r="G41" s="185"/>
      <c r="H41" s="185"/>
      <c r="I41" s="587"/>
      <c r="J41" s="185"/>
      <c r="K41" s="185"/>
      <c r="L41" s="588"/>
      <c r="M41" s="1070"/>
    </row>
    <row r="42" spans="1:14" ht="30" customHeight="1" x14ac:dyDescent="0.2">
      <c r="A42" s="1069"/>
      <c r="B42" s="771">
        <v>6</v>
      </c>
      <c r="C42" s="771"/>
      <c r="D42" s="884" t="s">
        <v>399</v>
      </c>
      <c r="E42" s="884"/>
      <c r="F42" s="586">
        <f t="shared" si="2"/>
        <v>30</v>
      </c>
      <c r="G42" s="185">
        <f>G36-G37-G40</f>
        <v>0</v>
      </c>
      <c r="H42" s="185">
        <f>H36-H37-H40</f>
        <v>0</v>
      </c>
      <c r="I42" s="608"/>
      <c r="J42" s="185">
        <f>J36-J37-J40</f>
        <v>0</v>
      </c>
      <c r="K42" s="185">
        <f>K36-K37-K40</f>
        <v>0</v>
      </c>
      <c r="L42" s="609"/>
      <c r="M42" s="1070"/>
    </row>
    <row r="43" spans="1:14" ht="55.5" customHeight="1" x14ac:dyDescent="0.2">
      <c r="A43" s="1069"/>
      <c r="B43" s="771" t="s">
        <v>5</v>
      </c>
      <c r="C43" s="771"/>
      <c r="D43" s="859" t="s">
        <v>139</v>
      </c>
      <c r="E43" s="859"/>
      <c r="F43" s="586">
        <f t="shared" si="2"/>
        <v>31</v>
      </c>
      <c r="G43" s="185">
        <v>2300</v>
      </c>
      <c r="H43" s="610">
        <v>2300</v>
      </c>
      <c r="I43" s="587">
        <f t="shared" si="0"/>
        <v>1</v>
      </c>
      <c r="J43" s="610">
        <v>2300</v>
      </c>
      <c r="K43" s="610">
        <v>2300</v>
      </c>
      <c r="L43" s="588">
        <f>J43/H43</f>
        <v>1</v>
      </c>
      <c r="M43" s="1070">
        <f>K43/J43</f>
        <v>1</v>
      </c>
    </row>
    <row r="44" spans="1:14" ht="65.25" customHeight="1" x14ac:dyDescent="0.2">
      <c r="A44" s="1069"/>
      <c r="B44" s="771" t="s">
        <v>20</v>
      </c>
      <c r="C44" s="771"/>
      <c r="D44" s="859" t="s">
        <v>140</v>
      </c>
      <c r="E44" s="859"/>
      <c r="F44" s="586">
        <f t="shared" si="2"/>
        <v>32</v>
      </c>
      <c r="G44" s="185">
        <v>0</v>
      </c>
      <c r="H44" s="185">
        <v>0</v>
      </c>
      <c r="I44" s="608">
        <v>0</v>
      </c>
      <c r="J44" s="185">
        <v>0</v>
      </c>
      <c r="K44" s="185">
        <v>0</v>
      </c>
      <c r="L44" s="609">
        <v>0</v>
      </c>
      <c r="M44" s="1077">
        <v>0</v>
      </c>
    </row>
    <row r="45" spans="1:14" ht="21.75" customHeight="1" x14ac:dyDescent="0.2">
      <c r="A45" s="1069"/>
      <c r="B45" s="771"/>
      <c r="C45" s="72" t="s">
        <v>27</v>
      </c>
      <c r="D45" s="884" t="s">
        <v>400</v>
      </c>
      <c r="E45" s="884"/>
      <c r="F45" s="586">
        <f t="shared" si="2"/>
        <v>33</v>
      </c>
      <c r="G45" s="185">
        <v>0</v>
      </c>
      <c r="H45" s="185">
        <v>0</v>
      </c>
      <c r="I45" s="608">
        <v>0</v>
      </c>
      <c r="J45" s="185">
        <v>0</v>
      </c>
      <c r="K45" s="185">
        <v>0</v>
      </c>
      <c r="L45" s="611">
        <v>0</v>
      </c>
      <c r="M45" s="1078">
        <v>0</v>
      </c>
    </row>
    <row r="46" spans="1:14" ht="12.75" customHeight="1" x14ac:dyDescent="0.2">
      <c r="A46" s="1069"/>
      <c r="B46" s="771"/>
      <c r="C46" s="72" t="s">
        <v>38</v>
      </c>
      <c r="D46" s="884" t="s">
        <v>401</v>
      </c>
      <c r="E46" s="884"/>
      <c r="F46" s="183" t="s">
        <v>402</v>
      </c>
      <c r="G46" s="185">
        <v>0</v>
      </c>
      <c r="H46" s="185">
        <v>0</v>
      </c>
      <c r="I46" s="587"/>
      <c r="J46" s="185">
        <v>0</v>
      </c>
      <c r="K46" s="185">
        <v>0</v>
      </c>
      <c r="L46" s="609">
        <v>0</v>
      </c>
      <c r="M46" s="1077">
        <v>0</v>
      </c>
    </row>
    <row r="47" spans="1:14" ht="12.75" customHeight="1" x14ac:dyDescent="0.2">
      <c r="A47" s="1069"/>
      <c r="B47" s="771"/>
      <c r="C47" s="72" t="s">
        <v>40</v>
      </c>
      <c r="D47" s="884" t="s">
        <v>403</v>
      </c>
      <c r="E47" s="884"/>
      <c r="F47" s="183">
        <v>34</v>
      </c>
      <c r="G47" s="185"/>
      <c r="H47" s="185"/>
      <c r="I47" s="587"/>
      <c r="J47" s="185"/>
      <c r="K47" s="185"/>
      <c r="L47" s="588"/>
      <c r="M47" s="1070"/>
    </row>
    <row r="48" spans="1:14" ht="41.25" customHeight="1" x14ac:dyDescent="0.2">
      <c r="A48" s="1069"/>
      <c r="B48" s="183">
        <v>9</v>
      </c>
      <c r="C48" s="72"/>
      <c r="D48" s="884" t="s">
        <v>404</v>
      </c>
      <c r="E48" s="884"/>
      <c r="F48" s="586">
        <f>F47+1</f>
        <v>35</v>
      </c>
      <c r="G48" s="185">
        <f>G36</f>
        <v>27017.729587003232</v>
      </c>
      <c r="H48" s="185">
        <f>H36</f>
        <v>9509.266504300811</v>
      </c>
      <c r="I48" s="587">
        <f t="shared" si="0"/>
        <v>0.35196393811252019</v>
      </c>
      <c r="J48" s="185">
        <f>J36</f>
        <v>9746.9981669083154</v>
      </c>
      <c r="K48" s="185">
        <f>K36</f>
        <v>9971.179124747181</v>
      </c>
      <c r="L48" s="588">
        <f>J48/H48</f>
        <v>1.0249999999999984</v>
      </c>
      <c r="M48" s="1070">
        <f>K48/J48</f>
        <v>1.0229999999999975</v>
      </c>
    </row>
    <row r="49" spans="1:13" s="577" customFormat="1" x14ac:dyDescent="0.2">
      <c r="A49" s="1079" t="s">
        <v>141</v>
      </c>
      <c r="B49" s="771"/>
      <c r="C49" s="771"/>
      <c r="D49" s="858" t="s">
        <v>142</v>
      </c>
      <c r="E49" s="858"/>
      <c r="F49" s="586">
        <f t="shared" ref="F49:F69" si="7">F48+1</f>
        <v>36</v>
      </c>
      <c r="G49" s="185">
        <v>0</v>
      </c>
      <c r="H49" s="185">
        <v>0</v>
      </c>
      <c r="I49" s="587"/>
      <c r="J49" s="185">
        <v>0</v>
      </c>
      <c r="K49" s="185">
        <v>0</v>
      </c>
      <c r="L49" s="609"/>
      <c r="M49" s="1077"/>
    </row>
    <row r="50" spans="1:13" s="577" customFormat="1" x14ac:dyDescent="0.2">
      <c r="A50" s="1079" t="s">
        <v>143</v>
      </c>
      <c r="B50" s="771"/>
      <c r="C50" s="771"/>
      <c r="D50" s="859" t="s">
        <v>144</v>
      </c>
      <c r="E50" s="859"/>
      <c r="F50" s="586">
        <f t="shared" si="7"/>
        <v>37</v>
      </c>
      <c r="G50" s="185">
        <v>0</v>
      </c>
      <c r="H50" s="185">
        <v>0</v>
      </c>
      <c r="I50" s="587"/>
      <c r="J50" s="185">
        <v>0</v>
      </c>
      <c r="K50" s="185">
        <v>0</v>
      </c>
      <c r="L50" s="609"/>
      <c r="M50" s="1077"/>
    </row>
    <row r="51" spans="1:13" x14ac:dyDescent="0.2">
      <c r="A51" s="1079"/>
      <c r="B51" s="771"/>
      <c r="C51" s="771" t="s">
        <v>27</v>
      </c>
      <c r="D51" s="858" t="s">
        <v>145</v>
      </c>
      <c r="E51" s="858"/>
      <c r="F51" s="586">
        <f t="shared" si="7"/>
        <v>38</v>
      </c>
      <c r="G51" s="185"/>
      <c r="H51" s="185"/>
      <c r="I51" s="587"/>
      <c r="J51" s="185"/>
      <c r="K51" s="185"/>
      <c r="L51" s="588"/>
      <c r="M51" s="1070"/>
    </row>
    <row r="52" spans="1:13" x14ac:dyDescent="0.2">
      <c r="A52" s="1079"/>
      <c r="B52" s="771"/>
      <c r="C52" s="771" t="s">
        <v>38</v>
      </c>
      <c r="D52" s="858" t="s">
        <v>146</v>
      </c>
      <c r="E52" s="858"/>
      <c r="F52" s="586">
        <f t="shared" si="7"/>
        <v>39</v>
      </c>
      <c r="G52" s="185"/>
      <c r="H52" s="185"/>
      <c r="I52" s="587"/>
      <c r="J52" s="185"/>
      <c r="K52" s="185"/>
      <c r="L52" s="588"/>
      <c r="M52" s="1070"/>
    </row>
    <row r="53" spans="1:13" x14ac:dyDescent="0.2">
      <c r="A53" s="1079"/>
      <c r="B53" s="771"/>
      <c r="C53" s="771" t="s">
        <v>40</v>
      </c>
      <c r="D53" s="858" t="s">
        <v>147</v>
      </c>
      <c r="E53" s="858"/>
      <c r="F53" s="586">
        <f t="shared" si="7"/>
        <v>40</v>
      </c>
      <c r="G53" s="185"/>
      <c r="H53" s="185"/>
      <c r="I53" s="587"/>
      <c r="J53" s="185"/>
      <c r="K53" s="185"/>
      <c r="L53" s="588"/>
      <c r="M53" s="1070"/>
    </row>
    <row r="54" spans="1:13" x14ac:dyDescent="0.2">
      <c r="A54" s="1079"/>
      <c r="B54" s="771"/>
      <c r="C54" s="771" t="s">
        <v>42</v>
      </c>
      <c r="D54" s="858" t="s">
        <v>148</v>
      </c>
      <c r="E54" s="858"/>
      <c r="F54" s="586">
        <f t="shared" si="7"/>
        <v>41</v>
      </c>
      <c r="G54" s="185"/>
      <c r="H54" s="185"/>
      <c r="I54" s="587"/>
      <c r="J54" s="185"/>
      <c r="K54" s="185"/>
      <c r="L54" s="588"/>
      <c r="M54" s="1070"/>
    </row>
    <row r="55" spans="1:13" x14ac:dyDescent="0.2">
      <c r="A55" s="1079"/>
      <c r="B55" s="771"/>
      <c r="C55" s="771" t="s">
        <v>28</v>
      </c>
      <c r="D55" s="858" t="s">
        <v>149</v>
      </c>
      <c r="E55" s="858"/>
      <c r="F55" s="586">
        <f t="shared" si="7"/>
        <v>42</v>
      </c>
      <c r="G55" s="185"/>
      <c r="H55" s="185"/>
      <c r="I55" s="587"/>
      <c r="J55" s="185"/>
      <c r="K55" s="185"/>
      <c r="L55" s="588"/>
      <c r="M55" s="1070"/>
    </row>
    <row r="56" spans="1:13" s="605" customFormat="1" ht="15" x14ac:dyDescent="0.2">
      <c r="A56" s="1075" t="s">
        <v>150</v>
      </c>
      <c r="B56" s="773"/>
      <c r="C56" s="773"/>
      <c r="D56" s="857" t="s">
        <v>151</v>
      </c>
      <c r="E56" s="857"/>
      <c r="F56" s="589">
        <f t="shared" si="7"/>
        <v>43</v>
      </c>
      <c r="G56" s="612">
        <v>131124</v>
      </c>
      <c r="H56" s="613">
        <f>226600</f>
        <v>226600</v>
      </c>
      <c r="I56" s="614">
        <f>H56/G56</f>
        <v>1.7281352002684482</v>
      </c>
      <c r="J56" s="612">
        <v>87935</v>
      </c>
      <c r="K56" s="612">
        <v>157151</v>
      </c>
      <c r="L56" s="615">
        <f>J56/H56</f>
        <v>0.38806266548984997</v>
      </c>
      <c r="M56" s="1080">
        <f>K56/J56</f>
        <v>1.7871268550633992</v>
      </c>
    </row>
    <row r="57" spans="1:13" ht="14.25" x14ac:dyDescent="0.2">
      <c r="A57" s="1079"/>
      <c r="B57" s="771" t="s">
        <v>4</v>
      </c>
      <c r="C57" s="771"/>
      <c r="D57" s="858" t="s">
        <v>546</v>
      </c>
      <c r="E57" s="858"/>
      <c r="F57" s="586">
        <f t="shared" si="7"/>
        <v>44</v>
      </c>
      <c r="G57" s="616">
        <v>118515</v>
      </c>
      <c r="H57" s="617">
        <f>21667+119567</f>
        <v>141234</v>
      </c>
      <c r="I57" s="618">
        <f>H57/G57</f>
        <v>1.1916972535122137</v>
      </c>
      <c r="J57" s="616">
        <v>46352</v>
      </c>
      <c r="K57" s="616">
        <v>113811</v>
      </c>
      <c r="L57" s="619">
        <f>J57/H57</f>
        <v>0.32819292804848693</v>
      </c>
      <c r="M57" s="1081">
        <f>K57/J57</f>
        <v>2.4553633068691751</v>
      </c>
    </row>
    <row r="58" spans="1:13" ht="25.5" x14ac:dyDescent="0.2">
      <c r="A58" s="1079"/>
      <c r="B58" s="771"/>
      <c r="C58" s="771"/>
      <c r="D58" s="771"/>
      <c r="E58" s="772" t="s">
        <v>405</v>
      </c>
      <c r="F58" s="586">
        <f t="shared" si="7"/>
        <v>45</v>
      </c>
      <c r="G58" s="617"/>
      <c r="H58" s="617"/>
      <c r="I58" s="614"/>
      <c r="J58" s="616"/>
      <c r="K58" s="616"/>
      <c r="L58" s="619"/>
      <c r="M58" s="1081"/>
    </row>
    <row r="59" spans="1:13" s="605" customFormat="1" ht="15" x14ac:dyDescent="0.2">
      <c r="A59" s="1075" t="s">
        <v>152</v>
      </c>
      <c r="B59" s="773"/>
      <c r="C59" s="773"/>
      <c r="D59" s="857" t="s">
        <v>153</v>
      </c>
      <c r="E59" s="857"/>
      <c r="F59" s="589">
        <f t="shared" si="7"/>
        <v>46</v>
      </c>
      <c r="G59" s="620">
        <f>G56</f>
        <v>131124</v>
      </c>
      <c r="H59" s="620">
        <f>H56</f>
        <v>226600</v>
      </c>
      <c r="I59" s="614">
        <f>H59/G59</f>
        <v>1.7281352002684482</v>
      </c>
      <c r="J59" s="621">
        <v>87935</v>
      </c>
      <c r="K59" s="621">
        <v>157151</v>
      </c>
      <c r="L59" s="615">
        <f>J59/H59</f>
        <v>0.38806266548984997</v>
      </c>
      <c r="M59" s="1080">
        <f>K59/J59</f>
        <v>1.7871268550633992</v>
      </c>
    </row>
    <row r="60" spans="1:13" s="605" customFormat="1" ht="15" x14ac:dyDescent="0.2">
      <c r="A60" s="1075" t="s">
        <v>154</v>
      </c>
      <c r="B60" s="773"/>
      <c r="C60" s="773"/>
      <c r="D60" s="857" t="s">
        <v>155</v>
      </c>
      <c r="E60" s="857"/>
      <c r="F60" s="589">
        <f t="shared" si="7"/>
        <v>47</v>
      </c>
      <c r="G60" s="602"/>
      <c r="H60" s="602"/>
      <c r="I60" s="603"/>
      <c r="J60" s="602"/>
      <c r="K60" s="602"/>
      <c r="L60" s="604"/>
      <c r="M60" s="1076"/>
    </row>
    <row r="61" spans="1:13" x14ac:dyDescent="0.2">
      <c r="A61" s="1069"/>
      <c r="B61" s="771" t="s">
        <v>4</v>
      </c>
      <c r="C61" s="771"/>
      <c r="D61" s="858" t="s">
        <v>298</v>
      </c>
      <c r="E61" s="858"/>
      <c r="F61" s="586">
        <f t="shared" si="7"/>
        <v>48</v>
      </c>
      <c r="G61" s="185">
        <v>936</v>
      </c>
      <c r="H61" s="622">
        <v>956</v>
      </c>
      <c r="I61" s="587">
        <f>H61/G61</f>
        <v>1.0213675213675213</v>
      </c>
      <c r="J61" s="623">
        <v>954</v>
      </c>
      <c r="K61" s="185">
        <v>957</v>
      </c>
      <c r="L61" s="588">
        <f>J61/H61</f>
        <v>0.997907949790795</v>
      </c>
      <c r="M61" s="1070">
        <f>K61/J61</f>
        <v>1.0031446540880504</v>
      </c>
    </row>
    <row r="62" spans="1:13" x14ac:dyDescent="0.2">
      <c r="A62" s="1069"/>
      <c r="B62" s="771" t="s">
        <v>21</v>
      </c>
      <c r="C62" s="771"/>
      <c r="D62" s="858" t="s">
        <v>156</v>
      </c>
      <c r="E62" s="858"/>
      <c r="F62" s="586">
        <f t="shared" si="7"/>
        <v>49</v>
      </c>
      <c r="G62" s="185">
        <v>934</v>
      </c>
      <c r="H62" s="622">
        <v>944</v>
      </c>
      <c r="I62" s="587">
        <f>H62/G62</f>
        <v>1.0107066381156318</v>
      </c>
      <c r="J62" s="623">
        <v>944</v>
      </c>
      <c r="K62" s="185">
        <v>945</v>
      </c>
      <c r="L62" s="588">
        <f>J62/H62</f>
        <v>1</v>
      </c>
      <c r="M62" s="1070">
        <f>K62/J62</f>
        <v>1.0010593220338984</v>
      </c>
    </row>
    <row r="63" spans="1:13" ht="46.5" customHeight="1" x14ac:dyDescent="0.2">
      <c r="A63" s="1069"/>
      <c r="B63" s="771">
        <v>3</v>
      </c>
      <c r="C63" s="771"/>
      <c r="D63" s="884" t="s">
        <v>406</v>
      </c>
      <c r="E63" s="884"/>
      <c r="F63" s="586">
        <f t="shared" si="7"/>
        <v>50</v>
      </c>
      <c r="G63" s="185">
        <f>G24/G62/12*1000</f>
        <v>3152.7378658101352</v>
      </c>
      <c r="H63" s="185">
        <f>H24/H62/12*1000</f>
        <v>3309.164194915254</v>
      </c>
      <c r="I63" s="587">
        <f t="shared" si="0"/>
        <v>1.049616027644253</v>
      </c>
      <c r="J63" s="185">
        <f>J24/J62/12*1000</f>
        <v>3391.8932997881352</v>
      </c>
      <c r="K63" s="185">
        <f>K24/K62/12*1000</f>
        <v>3466.2349865873011</v>
      </c>
      <c r="L63" s="588">
        <f>J63/H63</f>
        <v>1.0249999999999999</v>
      </c>
      <c r="M63" s="1070">
        <f>K63/J63</f>
        <v>1.0219174603174603</v>
      </c>
    </row>
    <row r="64" spans="1:13" ht="46.5" customHeight="1" x14ac:dyDescent="0.2">
      <c r="A64" s="1069"/>
      <c r="B64" s="771">
        <v>4</v>
      </c>
      <c r="C64" s="771"/>
      <c r="D64" s="884" t="s">
        <v>407</v>
      </c>
      <c r="E64" s="884"/>
      <c r="F64" s="586">
        <f t="shared" si="7"/>
        <v>51</v>
      </c>
      <c r="G64" s="185">
        <f>G25/G62/12*1000</f>
        <v>2749.2842612419695</v>
      </c>
      <c r="H64" s="185">
        <f>H25/H62/12*1000</f>
        <v>2879.6201447740109</v>
      </c>
      <c r="I64" s="587">
        <f t="shared" si="0"/>
        <v>1.0474072053477523</v>
      </c>
      <c r="J64" s="185">
        <f>J25/J62/12*1000</f>
        <v>2951.6106483933613</v>
      </c>
      <c r="K64" s="185">
        <f>K25/K62/12*1000</f>
        <v>3016.3024576521161</v>
      </c>
      <c r="L64" s="588">
        <f>J64/H64</f>
        <v>1.0250000000000001</v>
      </c>
      <c r="M64" s="1070">
        <f>K64/J64</f>
        <v>1.0219174603174603</v>
      </c>
    </row>
    <row r="65" spans="1:13" ht="30.75" customHeight="1" x14ac:dyDescent="0.2">
      <c r="A65" s="1069"/>
      <c r="B65" s="771">
        <v>5</v>
      </c>
      <c r="C65" s="771"/>
      <c r="D65" s="884" t="s">
        <v>408</v>
      </c>
      <c r="E65" s="884"/>
      <c r="F65" s="586">
        <f t="shared" si="7"/>
        <v>52</v>
      </c>
      <c r="G65" s="185">
        <f>G14/G62</f>
        <v>150.55410492505354</v>
      </c>
      <c r="H65" s="185">
        <f>H14/H62</f>
        <v>146.0693814512712</v>
      </c>
      <c r="I65" s="587">
        <f t="shared" si="0"/>
        <v>0.97021188179482154</v>
      </c>
      <c r="J65" s="185">
        <f>J14/J62</f>
        <v>149.72111598755296</v>
      </c>
      <c r="K65" s="185">
        <f>K14/K62</f>
        <v>153.00262260589602</v>
      </c>
      <c r="L65" s="588">
        <f>J65/H65</f>
        <v>1.0249999999999999</v>
      </c>
      <c r="M65" s="1070">
        <f>K65/J65</f>
        <v>1.0219174603174603</v>
      </c>
    </row>
    <row r="66" spans="1:13" ht="47.25" customHeight="1" x14ac:dyDescent="0.2">
      <c r="A66" s="1069"/>
      <c r="B66" s="771">
        <v>6</v>
      </c>
      <c r="C66" s="771"/>
      <c r="D66" s="884" t="s">
        <v>409</v>
      </c>
      <c r="E66" s="884"/>
      <c r="F66" s="586">
        <f t="shared" si="7"/>
        <v>53</v>
      </c>
      <c r="G66" s="187"/>
      <c r="H66" s="610"/>
      <c r="I66" s="587"/>
      <c r="J66" s="187"/>
      <c r="K66" s="610"/>
      <c r="L66" s="588"/>
      <c r="M66" s="1070"/>
    </row>
    <row r="67" spans="1:13" ht="21" customHeight="1" x14ac:dyDescent="0.2">
      <c r="A67" s="1069"/>
      <c r="B67" s="771">
        <v>7</v>
      </c>
      <c r="C67" s="771"/>
      <c r="D67" s="885" t="s">
        <v>410</v>
      </c>
      <c r="E67" s="885"/>
      <c r="F67" s="586">
        <f t="shared" si="7"/>
        <v>54</v>
      </c>
      <c r="G67" s="624">
        <f>G19/G13*1000</f>
        <v>764.3343427894772</v>
      </c>
      <c r="H67" s="624">
        <f>H19/H13*1000</f>
        <v>914.22315484128296</v>
      </c>
      <c r="I67" s="587">
        <f t="shared" si="0"/>
        <v>1.1961037253733475</v>
      </c>
      <c r="J67" s="625">
        <f>J19/J13*1000</f>
        <v>914.22315484128308</v>
      </c>
      <c r="K67" s="625">
        <f>K19/K13*1000</f>
        <v>914.22315484128319</v>
      </c>
      <c r="L67" s="588">
        <f>J67/H67</f>
        <v>1.0000000000000002</v>
      </c>
      <c r="M67" s="1070">
        <f>K67/J67</f>
        <v>1.0000000000000002</v>
      </c>
    </row>
    <row r="68" spans="1:13" ht="19.5" customHeight="1" x14ac:dyDescent="0.2">
      <c r="A68" s="1069"/>
      <c r="B68" s="771">
        <v>8</v>
      </c>
      <c r="C68" s="771"/>
      <c r="D68" s="771" t="s">
        <v>263</v>
      </c>
      <c r="E68" s="35"/>
      <c r="F68" s="586">
        <f t="shared" si="7"/>
        <v>55</v>
      </c>
      <c r="G68" s="185">
        <v>0</v>
      </c>
      <c r="H68" s="185">
        <v>0</v>
      </c>
      <c r="I68" s="587"/>
      <c r="J68" s="185">
        <v>0</v>
      </c>
      <c r="K68" s="185">
        <v>0</v>
      </c>
      <c r="L68" s="588"/>
      <c r="M68" s="1070"/>
    </row>
    <row r="69" spans="1:13" ht="24" customHeight="1" thickBot="1" x14ac:dyDescent="0.25">
      <c r="A69" s="1082"/>
      <c r="B69" s="1083">
        <v>9</v>
      </c>
      <c r="C69" s="1083"/>
      <c r="D69" s="1083" t="s">
        <v>550</v>
      </c>
      <c r="E69" s="1083"/>
      <c r="F69" s="1084">
        <f t="shared" si="7"/>
        <v>56</v>
      </c>
      <c r="G69" s="674">
        <v>20065</v>
      </c>
      <c r="H69" s="674">
        <v>19415</v>
      </c>
      <c r="I69" s="1085"/>
      <c r="J69" s="1086">
        <v>15000</v>
      </c>
      <c r="K69" s="1086">
        <v>10000</v>
      </c>
      <c r="L69" s="1087"/>
      <c r="M69" s="1088">
        <f t="shared" ref="M69" si="8">K69/J69</f>
        <v>0.66666666666666663</v>
      </c>
    </row>
    <row r="70" spans="1:13" x14ac:dyDescent="0.2">
      <c r="F70" s="627"/>
    </row>
    <row r="71" spans="1:13" x14ac:dyDescent="0.2">
      <c r="F71" s="627"/>
    </row>
    <row r="72" spans="1:13" x14ac:dyDescent="0.2">
      <c r="E72" s="564" t="s">
        <v>373</v>
      </c>
      <c r="J72" s="564" t="s">
        <v>374</v>
      </c>
    </row>
    <row r="73" spans="1:13" x14ac:dyDescent="0.2">
      <c r="E73" s="564" t="s">
        <v>375</v>
      </c>
      <c r="J73" s="564" t="s">
        <v>376</v>
      </c>
    </row>
  </sheetData>
  <mergeCells count="68">
    <mergeCell ref="D61:E61"/>
    <mergeCell ref="D62:E62"/>
    <mergeCell ref="A65:A69"/>
    <mergeCell ref="D65:E65"/>
    <mergeCell ref="D66:E66"/>
    <mergeCell ref="D67:E67"/>
    <mergeCell ref="D63:E63"/>
    <mergeCell ref="A61:A64"/>
    <mergeCell ref="D64:E64"/>
    <mergeCell ref="D34:E34"/>
    <mergeCell ref="D35:E35"/>
    <mergeCell ref="D36:E36"/>
    <mergeCell ref="A37:A48"/>
    <mergeCell ref="D37:E37"/>
    <mergeCell ref="D38:E38"/>
    <mergeCell ref="D39:E39"/>
    <mergeCell ref="D40:E40"/>
    <mergeCell ref="D41:E41"/>
    <mergeCell ref="D42:E42"/>
    <mergeCell ref="D43:E43"/>
    <mergeCell ref="D44:E44"/>
    <mergeCell ref="D46:E46"/>
    <mergeCell ref="D48:E48"/>
    <mergeCell ref="D45:E45"/>
    <mergeCell ref="D47:E47"/>
    <mergeCell ref="D19:E19"/>
    <mergeCell ref="A20:A33"/>
    <mergeCell ref="D20:E20"/>
    <mergeCell ref="B21:B31"/>
    <mergeCell ref="D21:E21"/>
    <mergeCell ref="D22:E22"/>
    <mergeCell ref="D23:E23"/>
    <mergeCell ref="C25:C30"/>
    <mergeCell ref="D31:E31"/>
    <mergeCell ref="D32:E32"/>
    <mergeCell ref="D33:E33"/>
    <mergeCell ref="D13:E13"/>
    <mergeCell ref="A14:A18"/>
    <mergeCell ref="D14:E14"/>
    <mergeCell ref="D17:E17"/>
    <mergeCell ref="D18:E18"/>
    <mergeCell ref="I10:I11"/>
    <mergeCell ref="J10:J11"/>
    <mergeCell ref="K10:K11"/>
    <mergeCell ref="L10:M10"/>
    <mergeCell ref="B12:C12"/>
    <mergeCell ref="D12:E12"/>
    <mergeCell ref="A10:C11"/>
    <mergeCell ref="D10:E11"/>
    <mergeCell ref="F10:F11"/>
    <mergeCell ref="G10:G11"/>
    <mergeCell ref="H10:H11"/>
    <mergeCell ref="B2:E2"/>
    <mergeCell ref="B3:E3"/>
    <mergeCell ref="B4:E4"/>
    <mergeCell ref="E5:K5"/>
    <mergeCell ref="E6:J6"/>
    <mergeCell ref="D49:E49"/>
    <mergeCell ref="D50:E50"/>
    <mergeCell ref="D51:E51"/>
    <mergeCell ref="D52:E52"/>
    <mergeCell ref="D53:E53"/>
    <mergeCell ref="D60:E60"/>
    <mergeCell ref="D54:E54"/>
    <mergeCell ref="D55:E55"/>
    <mergeCell ref="D56:E56"/>
    <mergeCell ref="D57:E57"/>
    <mergeCell ref="D59:E59"/>
  </mergeCells>
  <pageMargins left="0.7" right="0.4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6"/>
  <sheetViews>
    <sheetView topLeftCell="A145" workbookViewId="0">
      <selection activeCell="E4" sqref="E4:J4"/>
    </sheetView>
  </sheetViews>
  <sheetFormatPr defaultRowHeight="12.75" x14ac:dyDescent="0.2"/>
  <cols>
    <col min="1" max="3" width="4.7109375" style="564" customWidth="1"/>
    <col min="4" max="4" width="7.28515625" style="564" customWidth="1"/>
    <col min="5" max="5" width="55.28515625" style="564" customWidth="1"/>
    <col min="6" max="6" width="5.140625" style="11" customWidth="1"/>
    <col min="7" max="7" width="10.140625" style="564" customWidth="1"/>
    <col min="8" max="8" width="10.42578125" style="564" customWidth="1"/>
    <col min="9" max="9" width="10.140625" style="564" customWidth="1"/>
    <col min="10" max="10" width="9.28515625" style="564" bestFit="1" customWidth="1"/>
    <col min="11" max="11" width="16.5703125" style="564" customWidth="1"/>
    <col min="12" max="16384" width="9.140625" style="564"/>
  </cols>
  <sheetData>
    <row r="1" spans="1:10" x14ac:dyDescent="0.2">
      <c r="I1" s="628"/>
    </row>
    <row r="2" spans="1:10" x14ac:dyDescent="0.2">
      <c r="A2" s="899" t="s">
        <v>0</v>
      </c>
      <c r="B2" s="899"/>
      <c r="C2" s="899"/>
      <c r="D2" s="899"/>
      <c r="E2" s="900" t="s">
        <v>524</v>
      </c>
      <c r="F2" s="900"/>
      <c r="G2" s="900"/>
      <c r="H2" s="900"/>
      <c r="I2" s="900"/>
      <c r="J2" s="900"/>
    </row>
    <row r="3" spans="1:10" x14ac:dyDescent="0.2">
      <c r="A3" s="899" t="s">
        <v>1</v>
      </c>
      <c r="B3" s="899"/>
      <c r="C3" s="899"/>
      <c r="D3" s="899"/>
      <c r="E3" s="629"/>
      <c r="F3" s="629"/>
      <c r="G3" s="629"/>
      <c r="H3" s="629"/>
      <c r="I3" s="629" t="s">
        <v>695</v>
      </c>
      <c r="J3" s="629"/>
    </row>
    <row r="4" spans="1:10" x14ac:dyDescent="0.2">
      <c r="A4" s="899"/>
      <c r="B4" s="899"/>
      <c r="C4" s="899"/>
      <c r="D4" s="899"/>
      <c r="E4" s="886" t="s">
        <v>520</v>
      </c>
      <c r="F4" s="886"/>
      <c r="G4" s="886"/>
      <c r="H4" s="886"/>
      <c r="I4" s="886"/>
      <c r="J4" s="886"/>
    </row>
    <row r="5" spans="1:10" x14ac:dyDescent="0.2">
      <c r="A5" s="567"/>
      <c r="B5" s="567"/>
      <c r="C5" s="567"/>
      <c r="D5" s="567"/>
      <c r="E5" s="886" t="s">
        <v>669</v>
      </c>
      <c r="F5" s="886"/>
      <c r="G5" s="886"/>
      <c r="H5" s="886"/>
      <c r="I5" s="886"/>
      <c r="J5" s="629"/>
    </row>
    <row r="6" spans="1:10" ht="13.5" thickBot="1" x14ac:dyDescent="0.25">
      <c r="A6" s="899" t="s">
        <v>2</v>
      </c>
      <c r="B6" s="899"/>
      <c r="C6" s="899"/>
      <c r="D6" s="899"/>
    </row>
    <row r="7" spans="1:10" ht="51.75" customHeight="1" thickBot="1" x14ac:dyDescent="0.25">
      <c r="A7" s="907"/>
      <c r="B7" s="908"/>
      <c r="C7" s="630"/>
      <c r="D7" s="868" t="s">
        <v>6</v>
      </c>
      <c r="E7" s="869"/>
      <c r="F7" s="560" t="s">
        <v>7</v>
      </c>
      <c r="G7" s="904" t="s">
        <v>665</v>
      </c>
      <c r="H7" s="905"/>
      <c r="I7" s="129" t="s">
        <v>666</v>
      </c>
      <c r="J7" s="130" t="s">
        <v>111</v>
      </c>
    </row>
    <row r="8" spans="1:10" ht="58.5" customHeight="1" thickBot="1" x14ac:dyDescent="0.25">
      <c r="A8" s="911"/>
      <c r="B8" s="912"/>
      <c r="C8" s="631"/>
      <c r="D8" s="909"/>
      <c r="E8" s="910"/>
      <c r="F8" s="10" t="s">
        <v>8</v>
      </c>
      <c r="G8" s="682" t="s">
        <v>513</v>
      </c>
      <c r="H8" s="681" t="s">
        <v>472</v>
      </c>
      <c r="I8" s="736" t="s">
        <v>691</v>
      </c>
      <c r="J8" s="545" t="s">
        <v>514</v>
      </c>
    </row>
    <row r="9" spans="1:10" ht="19.5" customHeight="1" thickBot="1" x14ac:dyDescent="0.25">
      <c r="A9" s="632" t="s">
        <v>30</v>
      </c>
      <c r="B9" s="913" t="s">
        <v>9</v>
      </c>
      <c r="C9" s="892"/>
      <c r="D9" s="892" t="s">
        <v>21</v>
      </c>
      <c r="E9" s="892"/>
      <c r="F9" s="633" t="s">
        <v>17</v>
      </c>
      <c r="G9" s="634">
        <v>4</v>
      </c>
      <c r="H9" s="634">
        <v>5</v>
      </c>
      <c r="I9" s="634">
        <v>6</v>
      </c>
      <c r="J9" s="635">
        <v>7</v>
      </c>
    </row>
    <row r="10" spans="1:10" ht="18.75" customHeight="1" thickBot="1" x14ac:dyDescent="0.25">
      <c r="A10" s="636" t="s">
        <v>112</v>
      </c>
      <c r="B10" s="637"/>
      <c r="C10" s="638"/>
      <c r="D10" s="893" t="s">
        <v>233</v>
      </c>
      <c r="E10" s="893"/>
      <c r="F10" s="639" t="s">
        <v>4</v>
      </c>
      <c r="G10" s="511">
        <f>'anexa nr.4'!M10</f>
        <v>141302.16882333334</v>
      </c>
      <c r="H10" s="511">
        <f>'anexa nr.4'!L10</f>
        <v>142405.579</v>
      </c>
      <c r="I10" s="511">
        <f>'anexa nr.4'!G10</f>
        <v>138839.55376400001</v>
      </c>
      <c r="J10" s="512">
        <f>I10/H10</f>
        <v>0.97495866902798811</v>
      </c>
    </row>
    <row r="11" spans="1:10" ht="24.75" customHeight="1" x14ac:dyDescent="0.2">
      <c r="A11" s="640"/>
      <c r="B11" s="597" t="s">
        <v>4</v>
      </c>
      <c r="C11" s="597"/>
      <c r="D11" s="894" t="s">
        <v>512</v>
      </c>
      <c r="E11" s="894"/>
      <c r="F11" s="641">
        <f>F10+1</f>
        <v>2</v>
      </c>
      <c r="G11" s="541">
        <f>'anexa nr.4'!M11</f>
        <v>139716.98451333336</v>
      </c>
      <c r="H11" s="197">
        <f>'anexa nr.4'!L11</f>
        <v>140617.53400000001</v>
      </c>
      <c r="I11" s="510">
        <f>'anexa nr.4'!G11</f>
        <v>137889.49609</v>
      </c>
      <c r="J11" s="198">
        <f>I11/H11</f>
        <v>0.98059958930868452</v>
      </c>
    </row>
    <row r="12" spans="1:10" ht="13.5" customHeight="1" x14ac:dyDescent="0.2">
      <c r="A12" s="642"/>
      <c r="B12" s="583"/>
      <c r="C12" s="583" t="s">
        <v>27</v>
      </c>
      <c r="D12" s="859" t="s">
        <v>531</v>
      </c>
      <c r="E12" s="859"/>
      <c r="F12" s="643">
        <f t="shared" ref="F12:F75" si="0">F11+1</f>
        <v>3</v>
      </c>
      <c r="G12" s="185">
        <f>'anexa nr.4'!M12</f>
        <v>135314.41500000001</v>
      </c>
      <c r="H12" s="185">
        <f>'anexa nr.4'!L12</f>
        <v>135360.508</v>
      </c>
      <c r="I12" s="185">
        <f>'anexa nr.4'!G12</f>
        <v>134459.08855799999</v>
      </c>
      <c r="J12" s="190">
        <f t="shared" ref="J12:J74" si="1">I12/H12</f>
        <v>0.99334060240081246</v>
      </c>
    </row>
    <row r="13" spans="1:10" x14ac:dyDescent="0.2">
      <c r="A13" s="642"/>
      <c r="B13" s="583"/>
      <c r="C13" s="583"/>
      <c r="D13" s="583" t="s">
        <v>237</v>
      </c>
      <c r="E13" s="644" t="s">
        <v>316</v>
      </c>
      <c r="F13" s="643">
        <f t="shared" si="0"/>
        <v>4</v>
      </c>
      <c r="G13" s="185">
        <f>'anexa nr.4'!M13</f>
        <v>0</v>
      </c>
      <c r="H13" s="185">
        <f>'anexa nr.4'!L13</f>
        <v>0</v>
      </c>
      <c r="I13" s="185">
        <f>'anexa nr.4'!G13</f>
        <v>0</v>
      </c>
      <c r="J13" s="190"/>
    </row>
    <row r="14" spans="1:10" x14ac:dyDescent="0.2">
      <c r="A14" s="642"/>
      <c r="B14" s="583"/>
      <c r="C14" s="583"/>
      <c r="D14" s="583" t="s">
        <v>66</v>
      </c>
      <c r="E14" s="644" t="s">
        <v>317</v>
      </c>
      <c r="F14" s="643">
        <f t="shared" si="0"/>
        <v>5</v>
      </c>
      <c r="G14" s="185">
        <f>'anexa nr.4'!M14</f>
        <v>135015.554</v>
      </c>
      <c r="H14" s="185">
        <f>'anexa nr.4'!L14</f>
        <v>134955.967</v>
      </c>
      <c r="I14" s="185">
        <f>'anexa nr.4'!G14</f>
        <v>134155.59914800001</v>
      </c>
      <c r="J14" s="190">
        <f t="shared" si="1"/>
        <v>0.99406941486329392</v>
      </c>
    </row>
    <row r="15" spans="1:10" x14ac:dyDescent="0.2">
      <c r="A15" s="642"/>
      <c r="B15" s="583"/>
      <c r="C15" s="583"/>
      <c r="D15" s="583" t="s">
        <v>318</v>
      </c>
      <c r="E15" s="644" t="s">
        <v>319</v>
      </c>
      <c r="F15" s="643">
        <f t="shared" si="0"/>
        <v>6</v>
      </c>
      <c r="G15" s="185">
        <f>'anexa nr.4'!M15</f>
        <v>82.013999999999996</v>
      </c>
      <c r="H15" s="185">
        <f>'anexa nr.4'!L15</f>
        <v>83.703000000000003</v>
      </c>
      <c r="I15" s="185">
        <f>'anexa nr.4'!G15</f>
        <v>75.980931999999996</v>
      </c>
      <c r="J15" s="190">
        <f t="shared" si="1"/>
        <v>0.90774442970980718</v>
      </c>
    </row>
    <row r="16" spans="1:10" x14ac:dyDescent="0.2">
      <c r="A16" s="642"/>
      <c r="B16" s="583"/>
      <c r="C16" s="583"/>
      <c r="D16" s="583" t="s">
        <v>320</v>
      </c>
      <c r="E16" s="644" t="s">
        <v>321</v>
      </c>
      <c r="F16" s="643">
        <f t="shared" si="0"/>
        <v>7</v>
      </c>
      <c r="G16" s="185">
        <f>'anexa nr.4'!M16</f>
        <v>216.84700000000001</v>
      </c>
      <c r="H16" s="185">
        <f>'anexa nr.4'!L16</f>
        <v>320.83800000000002</v>
      </c>
      <c r="I16" s="185">
        <f>'anexa nr.4'!G16</f>
        <v>227.508478</v>
      </c>
      <c r="J16" s="190">
        <f t="shared" si="1"/>
        <v>0.70910701974205048</v>
      </c>
    </row>
    <row r="17" spans="1:10" ht="13.5" customHeight="1" x14ac:dyDescent="0.2">
      <c r="A17" s="642"/>
      <c r="B17" s="583"/>
      <c r="C17" s="583" t="s">
        <v>38</v>
      </c>
      <c r="D17" s="858" t="s">
        <v>322</v>
      </c>
      <c r="E17" s="858"/>
      <c r="F17" s="643">
        <f t="shared" si="0"/>
        <v>8</v>
      </c>
      <c r="G17" s="185">
        <f>'anexa nr.4'!M17</f>
        <v>0</v>
      </c>
      <c r="H17" s="185">
        <f>'anexa nr.4'!L17</f>
        <v>0</v>
      </c>
      <c r="I17" s="185">
        <f>'anexa nr.4'!G17</f>
        <v>0</v>
      </c>
      <c r="J17" s="190"/>
    </row>
    <row r="18" spans="1:10" ht="30.75" customHeight="1" x14ac:dyDescent="0.2">
      <c r="A18" s="642"/>
      <c r="B18" s="583"/>
      <c r="C18" s="583" t="s">
        <v>40</v>
      </c>
      <c r="D18" s="859" t="s">
        <v>532</v>
      </c>
      <c r="E18" s="859"/>
      <c r="F18" s="643">
        <f t="shared" si="0"/>
        <v>9</v>
      </c>
      <c r="G18" s="185">
        <f>'anexa nr.4'!M18</f>
        <v>0</v>
      </c>
      <c r="H18" s="185">
        <f>'anexa nr.4'!L18</f>
        <v>0</v>
      </c>
      <c r="I18" s="185">
        <f>'anexa nr.4'!G18</f>
        <v>0</v>
      </c>
      <c r="J18" s="190"/>
    </row>
    <row r="19" spans="1:10" x14ac:dyDescent="0.2">
      <c r="A19" s="642"/>
      <c r="B19" s="583"/>
      <c r="C19" s="583"/>
      <c r="D19" s="583" t="s">
        <v>324</v>
      </c>
      <c r="E19" s="601" t="s">
        <v>325</v>
      </c>
      <c r="F19" s="643">
        <f t="shared" si="0"/>
        <v>10</v>
      </c>
      <c r="G19" s="185">
        <f>'anexa nr.4'!M19</f>
        <v>0</v>
      </c>
      <c r="H19" s="185">
        <f>'anexa nr.4'!L19</f>
        <v>0</v>
      </c>
      <c r="I19" s="185">
        <f>'anexa nr.4'!G19</f>
        <v>0</v>
      </c>
      <c r="J19" s="190"/>
    </row>
    <row r="20" spans="1:10" x14ac:dyDescent="0.2">
      <c r="A20" s="642"/>
      <c r="B20" s="583"/>
      <c r="C20" s="583"/>
      <c r="D20" s="583" t="s">
        <v>533</v>
      </c>
      <c r="E20" s="601" t="s">
        <v>32</v>
      </c>
      <c r="F20" s="643">
        <f t="shared" si="0"/>
        <v>11</v>
      </c>
      <c r="G20" s="185">
        <f>'anexa nr.4'!M20</f>
        <v>0</v>
      </c>
      <c r="H20" s="185">
        <f>'anexa nr.4'!L20</f>
        <v>0</v>
      </c>
      <c r="I20" s="185">
        <f>'anexa nr.4'!G20</f>
        <v>0</v>
      </c>
      <c r="J20" s="190"/>
    </row>
    <row r="21" spans="1:10" ht="13.5" customHeight="1" x14ac:dyDescent="0.2">
      <c r="A21" s="642"/>
      <c r="B21" s="583"/>
      <c r="C21" s="583" t="s">
        <v>42</v>
      </c>
      <c r="D21" s="858" t="s">
        <v>326</v>
      </c>
      <c r="E21" s="858"/>
      <c r="F21" s="643">
        <f t="shared" si="0"/>
        <v>12</v>
      </c>
      <c r="G21" s="185">
        <f>'anexa nr.4'!M21</f>
        <v>1765.8333333333335</v>
      </c>
      <c r="H21" s="185">
        <f>'anexa nr.4'!L21</f>
        <v>2116.3739999999998</v>
      </c>
      <c r="I21" s="185">
        <f>'anexa nr.4'!G21</f>
        <v>2103.8000000000002</v>
      </c>
      <c r="J21" s="190">
        <f t="shared" si="1"/>
        <v>0.99405870606991031</v>
      </c>
    </row>
    <row r="22" spans="1:10" ht="13.5" customHeight="1" x14ac:dyDescent="0.2">
      <c r="A22" s="642"/>
      <c r="B22" s="583"/>
      <c r="C22" s="583" t="s">
        <v>28</v>
      </c>
      <c r="D22" s="859" t="s">
        <v>327</v>
      </c>
      <c r="E22" s="859"/>
      <c r="F22" s="643">
        <f t="shared" si="0"/>
        <v>13</v>
      </c>
      <c r="G22" s="185">
        <f>'anexa nr.4'!M22</f>
        <v>0</v>
      </c>
      <c r="H22" s="185">
        <f>'anexa nr.4'!L22</f>
        <v>0</v>
      </c>
      <c r="I22" s="185">
        <f>'anexa nr.4'!G22</f>
        <v>0</v>
      </c>
      <c r="J22" s="190"/>
    </row>
    <row r="23" spans="1:10" ht="13.5" customHeight="1" x14ac:dyDescent="0.2">
      <c r="A23" s="642"/>
      <c r="B23" s="583"/>
      <c r="C23" s="583" t="s">
        <v>34</v>
      </c>
      <c r="D23" s="859" t="s">
        <v>515</v>
      </c>
      <c r="E23" s="859"/>
      <c r="F23" s="643">
        <f t="shared" si="0"/>
        <v>14</v>
      </c>
      <c r="G23" s="185">
        <f>'anexa nr.4'!M23</f>
        <v>2636.7361799999999</v>
      </c>
      <c r="H23" s="185">
        <f>'anexa nr.4'!L23</f>
        <v>3140.652</v>
      </c>
      <c r="I23" s="185">
        <f>'anexa nr.4'!G23</f>
        <v>1326.607532</v>
      </c>
      <c r="J23" s="190">
        <f t="shared" si="1"/>
        <v>0.42239876688025291</v>
      </c>
    </row>
    <row r="24" spans="1:10" x14ac:dyDescent="0.2">
      <c r="A24" s="642"/>
      <c r="B24" s="583"/>
      <c r="C24" s="583"/>
      <c r="D24" s="583" t="s">
        <v>51</v>
      </c>
      <c r="E24" s="583" t="s">
        <v>330</v>
      </c>
      <c r="F24" s="643">
        <f t="shared" si="0"/>
        <v>15</v>
      </c>
      <c r="G24" s="185">
        <f>'anexa nr.4'!M24</f>
        <v>530.13617999999997</v>
      </c>
      <c r="H24" s="185">
        <f>'anexa nr.4'!L24</f>
        <v>1957.8230000000001</v>
      </c>
      <c r="I24" s="185">
        <f>'anexa nr.4'!G24</f>
        <v>519.27412400000003</v>
      </c>
      <c r="J24" s="190">
        <f t="shared" si="1"/>
        <v>0.26523037271500027</v>
      </c>
    </row>
    <row r="25" spans="1:10" ht="27" customHeight="1" x14ac:dyDescent="0.2">
      <c r="A25" s="642"/>
      <c r="B25" s="583"/>
      <c r="C25" s="583"/>
      <c r="D25" s="583" t="s">
        <v>52</v>
      </c>
      <c r="E25" s="601" t="s">
        <v>331</v>
      </c>
      <c r="F25" s="643">
        <f t="shared" si="0"/>
        <v>16</v>
      </c>
      <c r="G25" s="185">
        <f>'anexa nr.4'!M25</f>
        <v>0</v>
      </c>
      <c r="H25" s="185">
        <f>'anexa nr.4'!L25</f>
        <v>0</v>
      </c>
      <c r="I25" s="185">
        <f>'anexa nr.4'!G25</f>
        <v>0</v>
      </c>
      <c r="J25" s="190"/>
    </row>
    <row r="26" spans="1:10" x14ac:dyDescent="0.2">
      <c r="A26" s="642"/>
      <c r="B26" s="583"/>
      <c r="C26" s="583"/>
      <c r="D26" s="583"/>
      <c r="E26" s="583" t="s">
        <v>332</v>
      </c>
      <c r="F26" s="643">
        <f t="shared" si="0"/>
        <v>17</v>
      </c>
      <c r="G26" s="185">
        <f>'anexa nr.4'!M26</f>
        <v>0</v>
      </c>
      <c r="H26" s="185">
        <f>'anexa nr.4'!L26</f>
        <v>0</v>
      </c>
      <c r="I26" s="185">
        <f>'anexa nr.4'!G26</f>
        <v>0</v>
      </c>
      <c r="J26" s="190"/>
    </row>
    <row r="27" spans="1:10" x14ac:dyDescent="0.2">
      <c r="A27" s="642"/>
      <c r="B27" s="583"/>
      <c r="C27" s="583"/>
      <c r="D27" s="583"/>
      <c r="E27" s="583" t="s">
        <v>333</v>
      </c>
      <c r="F27" s="643">
        <f t="shared" si="0"/>
        <v>18</v>
      </c>
      <c r="G27" s="185">
        <f>'anexa nr.4'!M27</f>
        <v>0</v>
      </c>
      <c r="H27" s="185">
        <f>'anexa nr.4'!L27</f>
        <v>0</v>
      </c>
      <c r="I27" s="185">
        <f>'anexa nr.4'!G27</f>
        <v>0</v>
      </c>
      <c r="J27" s="190"/>
    </row>
    <row r="28" spans="1:10" x14ac:dyDescent="0.2">
      <c r="A28" s="642"/>
      <c r="B28" s="583"/>
      <c r="C28" s="583"/>
      <c r="D28" s="583" t="s">
        <v>53</v>
      </c>
      <c r="E28" s="583" t="s">
        <v>334</v>
      </c>
      <c r="F28" s="643">
        <f t="shared" si="0"/>
        <v>19</v>
      </c>
      <c r="G28" s="185">
        <f>'anexa nr.4'!M28</f>
        <v>0</v>
      </c>
      <c r="H28" s="185">
        <f>'anexa nr.4'!L28</f>
        <v>0</v>
      </c>
      <c r="I28" s="185">
        <f>'anexa nr.4'!G28</f>
        <v>0</v>
      </c>
      <c r="J28" s="190"/>
    </row>
    <row r="29" spans="1:10" x14ac:dyDescent="0.2">
      <c r="A29" s="642"/>
      <c r="B29" s="583"/>
      <c r="C29" s="583"/>
      <c r="D29" s="583" t="s">
        <v>54</v>
      </c>
      <c r="E29" s="583" t="s">
        <v>335</v>
      </c>
      <c r="F29" s="643">
        <f t="shared" si="0"/>
        <v>20</v>
      </c>
      <c r="G29" s="185">
        <f>'anexa nr.4'!M29</f>
        <v>0</v>
      </c>
      <c r="H29" s="185">
        <f>'anexa nr.4'!L29</f>
        <v>0</v>
      </c>
      <c r="I29" s="185">
        <f>'anexa nr.4'!G29</f>
        <v>0</v>
      </c>
      <c r="J29" s="190"/>
    </row>
    <row r="30" spans="1:10" ht="13.5" customHeight="1" x14ac:dyDescent="0.2">
      <c r="A30" s="642"/>
      <c r="B30" s="583"/>
      <c r="C30" s="583"/>
      <c r="D30" s="583" t="s">
        <v>55</v>
      </c>
      <c r="E30" s="583" t="s">
        <v>321</v>
      </c>
      <c r="F30" s="643">
        <f t="shared" si="0"/>
        <v>21</v>
      </c>
      <c r="G30" s="185">
        <f>'anexa nr.4'!M30</f>
        <v>2106.6</v>
      </c>
      <c r="H30" s="185">
        <f>'anexa nr.4'!L30</f>
        <v>1182.829</v>
      </c>
      <c r="I30" s="185">
        <f>'anexa nr.4'!G30</f>
        <v>807.33340800000008</v>
      </c>
      <c r="J30" s="190">
        <f t="shared" si="1"/>
        <v>0.68254448276124458</v>
      </c>
    </row>
    <row r="31" spans="1:10" ht="13.5" customHeight="1" x14ac:dyDescent="0.2">
      <c r="A31" s="642"/>
      <c r="B31" s="583" t="s">
        <v>21</v>
      </c>
      <c r="C31" s="583"/>
      <c r="D31" s="859" t="s">
        <v>509</v>
      </c>
      <c r="E31" s="859"/>
      <c r="F31" s="643">
        <f t="shared" si="0"/>
        <v>22</v>
      </c>
      <c r="G31" s="185">
        <f>'anexa nr.4'!M31</f>
        <v>1585.1843100000001</v>
      </c>
      <c r="H31" s="185">
        <f>'anexa nr.4'!L31</f>
        <v>1788.0450000000001</v>
      </c>
      <c r="I31" s="185">
        <f>'anexa nr.4'!G31</f>
        <v>950.05767400000002</v>
      </c>
      <c r="J31" s="190">
        <f t="shared" si="1"/>
        <v>0.53133879404601114</v>
      </c>
    </row>
    <row r="32" spans="1:10" x14ac:dyDescent="0.2">
      <c r="A32" s="642"/>
      <c r="B32" s="583"/>
      <c r="C32" s="583" t="s">
        <v>27</v>
      </c>
      <c r="D32" s="858" t="s">
        <v>337</v>
      </c>
      <c r="E32" s="858"/>
      <c r="F32" s="643">
        <f t="shared" si="0"/>
        <v>23</v>
      </c>
      <c r="G32" s="185">
        <f>'anexa nr.4'!M32</f>
        <v>0</v>
      </c>
      <c r="H32" s="185">
        <f>'anexa nr.4'!L32</f>
        <v>0</v>
      </c>
      <c r="I32" s="185">
        <f>'anexa nr.4'!G32</f>
        <v>0</v>
      </c>
      <c r="J32" s="190"/>
    </row>
    <row r="33" spans="1:10" x14ac:dyDescent="0.2">
      <c r="A33" s="642"/>
      <c r="B33" s="583"/>
      <c r="C33" s="583" t="s">
        <v>38</v>
      </c>
      <c r="D33" s="858" t="s">
        <v>534</v>
      </c>
      <c r="E33" s="858"/>
      <c r="F33" s="643">
        <f t="shared" si="0"/>
        <v>24</v>
      </c>
      <c r="G33" s="185">
        <f>'anexa nr.4'!M33</f>
        <v>0</v>
      </c>
      <c r="H33" s="185">
        <f>'anexa nr.4'!L33</f>
        <v>0</v>
      </c>
      <c r="I33" s="185">
        <f>'anexa nr.4'!G33</f>
        <v>0</v>
      </c>
      <c r="J33" s="190"/>
    </row>
    <row r="34" spans="1:10" x14ac:dyDescent="0.2">
      <c r="A34" s="642"/>
      <c r="B34" s="583"/>
      <c r="C34" s="583" t="s">
        <v>40</v>
      </c>
      <c r="D34" s="858" t="s">
        <v>339</v>
      </c>
      <c r="E34" s="858"/>
      <c r="F34" s="643">
        <f t="shared" si="0"/>
        <v>25</v>
      </c>
      <c r="G34" s="185">
        <f>'anexa nr.4'!M34</f>
        <v>1035</v>
      </c>
      <c r="H34" s="185">
        <f>'anexa nr.4'!L34</f>
        <v>903.303</v>
      </c>
      <c r="I34" s="185">
        <f>'anexa nr.4'!G34</f>
        <v>450</v>
      </c>
      <c r="J34" s="190">
        <f t="shared" si="1"/>
        <v>0.49817170982494247</v>
      </c>
    </row>
    <row r="35" spans="1:10" x14ac:dyDescent="0.2">
      <c r="A35" s="642"/>
      <c r="B35" s="583"/>
      <c r="C35" s="583" t="s">
        <v>264</v>
      </c>
      <c r="D35" s="858" t="s">
        <v>340</v>
      </c>
      <c r="E35" s="858"/>
      <c r="F35" s="643">
        <f t="shared" si="0"/>
        <v>26</v>
      </c>
      <c r="G35" s="185">
        <f>'anexa nr.4'!M35</f>
        <v>550.18430999999998</v>
      </c>
      <c r="H35" s="185">
        <f>'anexa nr.4'!L35</f>
        <v>884.74199999999996</v>
      </c>
      <c r="I35" s="185">
        <f>'anexa nr.4'!G35</f>
        <v>500.05767400000002</v>
      </c>
      <c r="J35" s="190">
        <f t="shared" si="1"/>
        <v>0.56520169043630808</v>
      </c>
    </row>
    <row r="36" spans="1:10" x14ac:dyDescent="0.2">
      <c r="A36" s="642"/>
      <c r="B36" s="583"/>
      <c r="C36" s="583" t="s">
        <v>28</v>
      </c>
      <c r="D36" s="858" t="s">
        <v>341</v>
      </c>
      <c r="E36" s="858"/>
      <c r="F36" s="643">
        <f t="shared" si="0"/>
        <v>27</v>
      </c>
      <c r="G36" s="185">
        <f>'anexa nr.4'!M36</f>
        <v>0</v>
      </c>
      <c r="H36" s="185">
        <f>'anexa nr.4'!L36</f>
        <v>0</v>
      </c>
      <c r="I36" s="185">
        <f>'anexa nr.4'!G36</f>
        <v>0</v>
      </c>
      <c r="J36" s="190"/>
    </row>
    <row r="37" spans="1:10" ht="13.5" thickBot="1" x14ac:dyDescent="0.25">
      <c r="A37" s="645"/>
      <c r="B37" s="646" t="s">
        <v>17</v>
      </c>
      <c r="C37" s="646"/>
      <c r="D37" s="895" t="s">
        <v>115</v>
      </c>
      <c r="E37" s="895"/>
      <c r="F37" s="647">
        <f t="shared" si="0"/>
        <v>28</v>
      </c>
      <c r="G37" s="195">
        <f>'anexa nr.4'!M37</f>
        <v>0</v>
      </c>
      <c r="H37" s="195">
        <f>'anexa nr.4'!L37</f>
        <v>0</v>
      </c>
      <c r="I37" s="195">
        <f>'anexa nr.4'!G37</f>
        <v>0</v>
      </c>
      <c r="J37" s="196"/>
    </row>
    <row r="38" spans="1:10" ht="13.5" customHeight="1" thickBot="1" x14ac:dyDescent="0.25">
      <c r="A38" s="648" t="s">
        <v>23</v>
      </c>
      <c r="B38" s="896" t="s">
        <v>427</v>
      </c>
      <c r="C38" s="897"/>
      <c r="D38" s="897"/>
      <c r="E38" s="897"/>
      <c r="F38" s="649">
        <f t="shared" si="0"/>
        <v>29</v>
      </c>
      <c r="G38" s="507">
        <f>'anexa nr.4'!M38</f>
        <v>119745.05875237469</v>
      </c>
      <c r="H38" s="507">
        <f>'anexa nr.4'!L38</f>
        <v>108845.47463452</v>
      </c>
      <c r="I38" s="507">
        <f>'anexa nr.4'!G38</f>
        <v>126930.33485888</v>
      </c>
      <c r="J38" s="508">
        <f t="shared" si="1"/>
        <v>1.1661516961094167</v>
      </c>
    </row>
    <row r="39" spans="1:10" ht="13.5" customHeight="1" x14ac:dyDescent="0.2">
      <c r="A39" s="650"/>
      <c r="B39" s="597" t="s">
        <v>4</v>
      </c>
      <c r="C39" s="898" t="s">
        <v>428</v>
      </c>
      <c r="D39" s="898"/>
      <c r="E39" s="898"/>
      <c r="F39" s="641">
        <f t="shared" si="0"/>
        <v>30</v>
      </c>
      <c r="G39" s="197">
        <f>'anexa nr.4'!M39</f>
        <v>117343.87975237469</v>
      </c>
      <c r="H39" s="197">
        <f>'anexa nr.4'!L39</f>
        <v>107056.39763451999</v>
      </c>
      <c r="I39" s="197">
        <f>'anexa nr.4'!G39</f>
        <v>125120.33485888</v>
      </c>
      <c r="J39" s="198">
        <f t="shared" si="1"/>
        <v>1.1687329073599928</v>
      </c>
    </row>
    <row r="40" spans="1:10" ht="21" customHeight="1" x14ac:dyDescent="0.2">
      <c r="A40" s="642"/>
      <c r="B40" s="583"/>
      <c r="C40" s="889" t="s">
        <v>429</v>
      </c>
      <c r="D40" s="889"/>
      <c r="E40" s="889"/>
      <c r="F40" s="643">
        <f t="shared" si="0"/>
        <v>31</v>
      </c>
      <c r="G40" s="185">
        <f>'anexa nr.4'!M40</f>
        <v>49328.134633922506</v>
      </c>
      <c r="H40" s="185">
        <f>'anexa nr.4'!L40</f>
        <v>43553.966</v>
      </c>
      <c r="I40" s="185">
        <f>'anexa nr.4'!G40</f>
        <v>55297.567430000003</v>
      </c>
      <c r="J40" s="190">
        <f t="shared" si="1"/>
        <v>1.2696333424607074</v>
      </c>
    </row>
    <row r="41" spans="1:10" ht="30" customHeight="1" x14ac:dyDescent="0.2">
      <c r="A41" s="642"/>
      <c r="B41" s="583"/>
      <c r="C41" s="583" t="s">
        <v>265</v>
      </c>
      <c r="D41" s="859" t="s">
        <v>535</v>
      </c>
      <c r="E41" s="859"/>
      <c r="F41" s="643">
        <f t="shared" si="0"/>
        <v>32</v>
      </c>
      <c r="G41" s="185">
        <f>'anexa nr.4'!M41</f>
        <v>34558.943218804998</v>
      </c>
      <c r="H41" s="185">
        <f>'anexa nr.4'!L41</f>
        <v>32317.9</v>
      </c>
      <c r="I41" s="185">
        <f>'anexa nr.4'!G41</f>
        <v>38307.838230000001</v>
      </c>
      <c r="J41" s="190">
        <f t="shared" si="1"/>
        <v>1.185344290006467</v>
      </c>
    </row>
    <row r="42" spans="1:10" x14ac:dyDescent="0.2">
      <c r="A42" s="642"/>
      <c r="B42" s="583"/>
      <c r="C42" s="583" t="s">
        <v>27</v>
      </c>
      <c r="D42" s="858" t="s">
        <v>266</v>
      </c>
      <c r="E42" s="858"/>
      <c r="F42" s="643">
        <f t="shared" si="0"/>
        <v>33</v>
      </c>
      <c r="G42" s="185">
        <f>'anexa nr.4'!M42</f>
        <v>1435.336257985</v>
      </c>
      <c r="H42" s="185">
        <f>'anexa nr.4'!L42</f>
        <v>1639.5050000000001</v>
      </c>
      <c r="I42" s="185">
        <f>'anexa nr.4'!G42</f>
        <v>2081.81531</v>
      </c>
      <c r="J42" s="190">
        <f t="shared" si="1"/>
        <v>1.2697828368928425</v>
      </c>
    </row>
    <row r="43" spans="1:10" x14ac:dyDescent="0.2">
      <c r="A43" s="642"/>
      <c r="B43" s="583"/>
      <c r="C43" s="583" t="s">
        <v>38</v>
      </c>
      <c r="D43" s="859" t="s">
        <v>267</v>
      </c>
      <c r="E43" s="859"/>
      <c r="F43" s="643">
        <f t="shared" si="0"/>
        <v>34</v>
      </c>
      <c r="G43" s="185">
        <f>'anexa nr.4'!M43</f>
        <v>6848.5126945993998</v>
      </c>
      <c r="H43" s="185">
        <f>'anexa nr.4'!L43</f>
        <v>6226.8149999999996</v>
      </c>
      <c r="I43" s="185">
        <f>'anexa nr.4'!G43</f>
        <v>7312.6566399999992</v>
      </c>
      <c r="J43" s="190">
        <f t="shared" si="1"/>
        <v>1.1743815481911699</v>
      </c>
    </row>
    <row r="44" spans="1:10" x14ac:dyDescent="0.2">
      <c r="A44" s="642"/>
      <c r="B44" s="583"/>
      <c r="C44" s="583"/>
      <c r="D44" s="583" t="s">
        <v>76</v>
      </c>
      <c r="E44" s="583" t="s">
        <v>268</v>
      </c>
      <c r="F44" s="643">
        <f t="shared" si="0"/>
        <v>35</v>
      </c>
      <c r="G44" s="185">
        <f>'anexa nr.4'!M44</f>
        <v>4347.0785226568005</v>
      </c>
      <c r="H44" s="185">
        <f>'anexa nr.4'!L44</f>
        <v>4216.3760000000002</v>
      </c>
      <c r="I44" s="185">
        <f>'anexa nr.4'!G44</f>
        <v>4604.3399300000001</v>
      </c>
      <c r="J44" s="190">
        <f t="shared" si="1"/>
        <v>1.0920135988820732</v>
      </c>
    </row>
    <row r="45" spans="1:10" ht="13.5" customHeight="1" x14ac:dyDescent="0.2">
      <c r="A45" s="642"/>
      <c r="B45" s="583"/>
      <c r="C45" s="583"/>
      <c r="D45" s="583" t="s">
        <v>99</v>
      </c>
      <c r="E45" s="583" t="s">
        <v>269</v>
      </c>
      <c r="F45" s="643">
        <f t="shared" si="0"/>
        <v>36</v>
      </c>
      <c r="G45" s="185">
        <f>'anexa nr.4'!M45</f>
        <v>2501.4341719426002</v>
      </c>
      <c r="H45" s="185">
        <f>'anexa nr.4'!L45</f>
        <v>2010.4390000000001</v>
      </c>
      <c r="I45" s="185">
        <f>'anexa nr.4'!G45</f>
        <v>2711.9667100000001</v>
      </c>
      <c r="J45" s="190">
        <f t="shared" si="1"/>
        <v>1.3489425493635967</v>
      </c>
    </row>
    <row r="46" spans="1:10" ht="13.5" customHeight="1" x14ac:dyDescent="0.2">
      <c r="A46" s="642"/>
      <c r="B46" s="583"/>
      <c r="C46" s="651" t="s">
        <v>40</v>
      </c>
      <c r="D46" s="859" t="s">
        <v>270</v>
      </c>
      <c r="E46" s="859"/>
      <c r="F46" s="643">
        <f t="shared" si="0"/>
        <v>37</v>
      </c>
      <c r="G46" s="185">
        <f>'anexa nr.4'!M46</f>
        <v>1051.5460659937999</v>
      </c>
      <c r="H46" s="185">
        <f>'anexa nr.4'!L46</f>
        <v>1486.42</v>
      </c>
      <c r="I46" s="185">
        <f>'anexa nr.4'!G46</f>
        <v>1655.2910099999999</v>
      </c>
      <c r="J46" s="190">
        <f t="shared" si="1"/>
        <v>1.1136092154303627</v>
      </c>
    </row>
    <row r="47" spans="1:10" x14ac:dyDescent="0.2">
      <c r="A47" s="642"/>
      <c r="B47" s="583"/>
      <c r="C47" s="583" t="s">
        <v>42</v>
      </c>
      <c r="D47" s="858" t="s">
        <v>271</v>
      </c>
      <c r="E47" s="858"/>
      <c r="F47" s="643">
        <f t="shared" si="0"/>
        <v>38</v>
      </c>
      <c r="G47" s="185">
        <f>'anexa nr.4'!M47</f>
        <v>25223.5482002268</v>
      </c>
      <c r="H47" s="185">
        <f>'anexa nr.4'!L47</f>
        <v>22965.16</v>
      </c>
      <c r="I47" s="185">
        <f>'anexa nr.4'!G47</f>
        <v>27258.075270000001</v>
      </c>
      <c r="J47" s="190">
        <f t="shared" si="1"/>
        <v>1.1869316508136674</v>
      </c>
    </row>
    <row r="48" spans="1:10" ht="13.5" customHeight="1" x14ac:dyDescent="0.2">
      <c r="A48" s="642"/>
      <c r="B48" s="583"/>
      <c r="C48" s="583" t="s">
        <v>28</v>
      </c>
      <c r="D48" s="858" t="s">
        <v>272</v>
      </c>
      <c r="E48" s="858"/>
      <c r="F48" s="643">
        <f t="shared" si="0"/>
        <v>39</v>
      </c>
      <c r="G48" s="185">
        <f>'anexa nr.4'!M48</f>
        <v>0</v>
      </c>
      <c r="H48" s="185">
        <f>'anexa nr.4'!L48</f>
        <v>0</v>
      </c>
      <c r="I48" s="185">
        <f>'anexa nr.4'!G48</f>
        <v>0</v>
      </c>
      <c r="J48" s="190"/>
    </row>
    <row r="49" spans="1:10" ht="30" customHeight="1" x14ac:dyDescent="0.2">
      <c r="A49" s="642"/>
      <c r="B49" s="583"/>
      <c r="C49" s="583" t="s">
        <v>273</v>
      </c>
      <c r="D49" s="859" t="s">
        <v>465</v>
      </c>
      <c r="E49" s="859"/>
      <c r="F49" s="643">
        <f t="shared" si="0"/>
        <v>40</v>
      </c>
      <c r="G49" s="185">
        <f>'anexa nr.4'!M49</f>
        <v>5961.7494235975009</v>
      </c>
      <c r="H49" s="185">
        <f>'anexa nr.4'!L49</f>
        <v>4478.5129999999999</v>
      </c>
      <c r="I49" s="185">
        <f>'anexa nr.4'!G49</f>
        <v>8114.5745999999999</v>
      </c>
      <c r="J49" s="190">
        <f t="shared" si="1"/>
        <v>1.8118903752205253</v>
      </c>
    </row>
    <row r="50" spans="1:10" x14ac:dyDescent="0.2">
      <c r="A50" s="642"/>
      <c r="B50" s="583"/>
      <c r="C50" s="583" t="s">
        <v>27</v>
      </c>
      <c r="D50" s="858" t="s">
        <v>274</v>
      </c>
      <c r="E50" s="858"/>
      <c r="F50" s="643">
        <f t="shared" si="0"/>
        <v>41</v>
      </c>
      <c r="G50" s="185">
        <f>'anexa nr.4'!M50</f>
        <v>5048.2127691079004</v>
      </c>
      <c r="H50" s="185">
        <f>'anexa nr.4'!L50</f>
        <v>3837.9659999999999</v>
      </c>
      <c r="I50" s="185">
        <f>'anexa nr.4'!G50</f>
        <v>7024.9618799999998</v>
      </c>
      <c r="J50" s="190">
        <f t="shared" si="1"/>
        <v>1.8303866891994354</v>
      </c>
    </row>
    <row r="51" spans="1:10" ht="13.5" customHeight="1" x14ac:dyDescent="0.2">
      <c r="A51" s="642"/>
      <c r="B51" s="583"/>
      <c r="C51" s="583" t="s">
        <v>38</v>
      </c>
      <c r="D51" s="889" t="s">
        <v>430</v>
      </c>
      <c r="E51" s="889"/>
      <c r="F51" s="643">
        <f t="shared" si="0"/>
        <v>42</v>
      </c>
      <c r="G51" s="185">
        <f>'anexa nr.4'!M51</f>
        <v>638.38193707820005</v>
      </c>
      <c r="H51" s="185">
        <f>'anexa nr.4'!L51</f>
        <v>431.87200000000001</v>
      </c>
      <c r="I51" s="185">
        <f>'anexa nr.4'!G51</f>
        <v>711.89343000000008</v>
      </c>
      <c r="J51" s="190">
        <f t="shared" si="1"/>
        <v>1.6483898701467103</v>
      </c>
    </row>
    <row r="52" spans="1:10" ht="22.5" customHeight="1" x14ac:dyDescent="0.2">
      <c r="A52" s="642"/>
      <c r="B52" s="583"/>
      <c r="C52" s="583"/>
      <c r="D52" s="583" t="s">
        <v>276</v>
      </c>
      <c r="E52" s="601" t="s">
        <v>157</v>
      </c>
      <c r="F52" s="643">
        <f t="shared" si="0"/>
        <v>43</v>
      </c>
      <c r="G52" s="185">
        <f>'anexa nr.4'!M52</f>
        <v>212.39595199999999</v>
      </c>
      <c r="H52" s="185">
        <f>'anexa nr.4'!L52</f>
        <v>15.884</v>
      </c>
      <c r="I52" s="185">
        <f>'anexa nr.4'!G52</f>
        <v>99.913429999999991</v>
      </c>
      <c r="J52" s="190">
        <f t="shared" si="1"/>
        <v>6.2901932762528325</v>
      </c>
    </row>
    <row r="53" spans="1:10" x14ac:dyDescent="0.2">
      <c r="A53" s="642"/>
      <c r="B53" s="583"/>
      <c r="C53" s="583"/>
      <c r="D53" s="583" t="s">
        <v>99</v>
      </c>
      <c r="E53" s="583" t="s">
        <v>158</v>
      </c>
      <c r="F53" s="643">
        <f t="shared" si="0"/>
        <v>44</v>
      </c>
      <c r="G53" s="185">
        <f>'anexa nr.4'!M53</f>
        <v>409.18598507820002</v>
      </c>
      <c r="H53" s="185">
        <f>'anexa nr.4'!L53</f>
        <v>415.988</v>
      </c>
      <c r="I53" s="185">
        <f>'anexa nr.4'!G53</f>
        <v>605.48</v>
      </c>
      <c r="J53" s="190">
        <f t="shared" si="1"/>
        <v>1.4555227554640999</v>
      </c>
    </row>
    <row r="54" spans="1:10" ht="13.5" customHeight="1" x14ac:dyDescent="0.2">
      <c r="A54" s="642"/>
      <c r="B54" s="583"/>
      <c r="C54" s="583" t="s">
        <v>40</v>
      </c>
      <c r="D54" s="891" t="s">
        <v>159</v>
      </c>
      <c r="E54" s="891"/>
      <c r="F54" s="643">
        <f t="shared" si="0"/>
        <v>45</v>
      </c>
      <c r="G54" s="185">
        <f>'anexa nr.4'!M54</f>
        <v>275.15471741139999</v>
      </c>
      <c r="H54" s="185">
        <f>'anexa nr.4'!L54</f>
        <v>208.67500000000001</v>
      </c>
      <c r="I54" s="185">
        <f>'anexa nr.4'!G54</f>
        <v>305.78140999999999</v>
      </c>
      <c r="J54" s="190">
        <f t="shared" si="1"/>
        <v>1.4653475979393793</v>
      </c>
    </row>
    <row r="55" spans="1:10" ht="45" customHeight="1" x14ac:dyDescent="0.2">
      <c r="A55" s="642"/>
      <c r="B55" s="583"/>
      <c r="C55" s="583" t="s">
        <v>160</v>
      </c>
      <c r="D55" s="889" t="s">
        <v>431</v>
      </c>
      <c r="E55" s="889"/>
      <c r="F55" s="643">
        <f t="shared" si="0"/>
        <v>46</v>
      </c>
      <c r="G55" s="185">
        <f>'anexa nr.4'!M55</f>
        <v>8807.4419915199996</v>
      </c>
      <c r="H55" s="185">
        <f>'anexa nr.4'!L55</f>
        <v>6757.5529999999999</v>
      </c>
      <c r="I55" s="185">
        <f>'anexa nr.4'!G55</f>
        <v>8876.0046000000002</v>
      </c>
      <c r="J55" s="190">
        <f t="shared" si="1"/>
        <v>1.3134938934256233</v>
      </c>
    </row>
    <row r="56" spans="1:10" x14ac:dyDescent="0.2">
      <c r="A56" s="642"/>
      <c r="B56" s="583"/>
      <c r="C56" s="583" t="s">
        <v>27</v>
      </c>
      <c r="D56" s="891" t="s">
        <v>161</v>
      </c>
      <c r="E56" s="891"/>
      <c r="F56" s="643">
        <f t="shared" si="0"/>
        <v>47</v>
      </c>
      <c r="G56" s="185">
        <f>'anexa nr.4'!M56</f>
        <v>6</v>
      </c>
      <c r="H56" s="185">
        <f>'anexa nr.4'!L56</f>
        <v>4.5860000000000003</v>
      </c>
      <c r="I56" s="185">
        <f>'anexa nr.4'!G56</f>
        <v>12</v>
      </c>
      <c r="J56" s="190">
        <f t="shared" si="1"/>
        <v>2.6166593981683381</v>
      </c>
    </row>
    <row r="57" spans="1:10" x14ac:dyDescent="0.2">
      <c r="A57" s="642"/>
      <c r="B57" s="583"/>
      <c r="C57" s="583" t="s">
        <v>38</v>
      </c>
      <c r="D57" s="888" t="s">
        <v>162</v>
      </c>
      <c r="E57" s="888"/>
      <c r="F57" s="643">
        <f t="shared" si="0"/>
        <v>48</v>
      </c>
      <c r="G57" s="185">
        <f>'anexa nr.4'!M57</f>
        <v>420</v>
      </c>
      <c r="H57" s="185">
        <f>'anexa nr.4'!L57</f>
        <v>19.46</v>
      </c>
      <c r="I57" s="185">
        <f>'anexa nr.4'!G57</f>
        <v>28</v>
      </c>
      <c r="J57" s="190">
        <f t="shared" si="1"/>
        <v>1.4388489208633093</v>
      </c>
    </row>
    <row r="58" spans="1:10" ht="13.5" customHeight="1" x14ac:dyDescent="0.2">
      <c r="A58" s="642"/>
      <c r="B58" s="583"/>
      <c r="C58" s="583"/>
      <c r="D58" s="583" t="s">
        <v>276</v>
      </c>
      <c r="E58" s="601" t="s">
        <v>277</v>
      </c>
      <c r="F58" s="643">
        <f t="shared" si="0"/>
        <v>49</v>
      </c>
      <c r="G58" s="185">
        <f>'anexa nr.4'!M58</f>
        <v>400</v>
      </c>
      <c r="H58" s="185">
        <f>'anexa nr.4'!L58</f>
        <v>0</v>
      </c>
      <c r="I58" s="185">
        <f>'anexa nr.4'!G58</f>
        <v>8</v>
      </c>
      <c r="J58" s="190"/>
    </row>
    <row r="59" spans="1:10" ht="13.5" customHeight="1" x14ac:dyDescent="0.2">
      <c r="A59" s="642"/>
      <c r="B59" s="583"/>
      <c r="C59" s="583" t="s">
        <v>40</v>
      </c>
      <c r="D59" s="889" t="s">
        <v>432</v>
      </c>
      <c r="E59" s="889"/>
      <c r="F59" s="643">
        <f t="shared" si="0"/>
        <v>50</v>
      </c>
      <c r="G59" s="185">
        <f>'anexa nr.4'!M59</f>
        <v>460</v>
      </c>
      <c r="H59" s="185">
        <f>'anexa nr.4'!L59</f>
        <v>383.34399999999999</v>
      </c>
      <c r="I59" s="185">
        <f>'anexa nr.4'!G59</f>
        <v>465</v>
      </c>
      <c r="J59" s="190">
        <f t="shared" si="1"/>
        <v>1.2130097249467842</v>
      </c>
    </row>
    <row r="60" spans="1:10" x14ac:dyDescent="0.2">
      <c r="A60" s="642"/>
      <c r="B60" s="583"/>
      <c r="C60" s="583"/>
      <c r="D60" s="583" t="s">
        <v>278</v>
      </c>
      <c r="E60" s="583" t="s">
        <v>163</v>
      </c>
      <c r="F60" s="643">
        <f t="shared" si="0"/>
        <v>51</v>
      </c>
      <c r="G60" s="185">
        <f>'anexa nr.4'!M60</f>
        <v>160</v>
      </c>
      <c r="H60" s="185">
        <f>'anexa nr.4'!L60</f>
        <v>85.822999999999993</v>
      </c>
      <c r="I60" s="185">
        <f>'anexa nr.4'!G60</f>
        <v>155</v>
      </c>
      <c r="J60" s="190">
        <f>I60/H60</f>
        <v>1.8060426692145464</v>
      </c>
    </row>
    <row r="61" spans="1:10" ht="23.25" customHeight="1" x14ac:dyDescent="0.2">
      <c r="A61" s="642"/>
      <c r="B61" s="583"/>
      <c r="C61" s="583"/>
      <c r="D61" s="583"/>
      <c r="E61" s="601" t="s">
        <v>164</v>
      </c>
      <c r="F61" s="643">
        <f t="shared" si="0"/>
        <v>52</v>
      </c>
      <c r="G61" s="185">
        <f>'anexa nr.4'!M61</f>
        <v>0</v>
      </c>
      <c r="H61" s="185">
        <f>'anexa nr.4'!L61</f>
        <v>0</v>
      </c>
      <c r="I61" s="185">
        <f>'anexa nr.4'!G61</f>
        <v>0</v>
      </c>
      <c r="J61" s="190"/>
    </row>
    <row r="62" spans="1:10" x14ac:dyDescent="0.2">
      <c r="A62" s="642"/>
      <c r="B62" s="583"/>
      <c r="C62" s="583"/>
      <c r="D62" s="583" t="s">
        <v>165</v>
      </c>
      <c r="E62" s="601" t="s">
        <v>166</v>
      </c>
      <c r="F62" s="643">
        <f t="shared" si="0"/>
        <v>53</v>
      </c>
      <c r="G62" s="185">
        <f>'anexa nr.4'!M62</f>
        <v>300</v>
      </c>
      <c r="H62" s="185">
        <f>'anexa nr.4'!L62</f>
        <v>297.52100000000002</v>
      </c>
      <c r="I62" s="185">
        <f>'anexa nr.4'!G62</f>
        <v>310</v>
      </c>
      <c r="J62" s="190">
        <f t="shared" si="1"/>
        <v>1.0419432577868453</v>
      </c>
    </row>
    <row r="63" spans="1:10" ht="25.5" customHeight="1" x14ac:dyDescent="0.2">
      <c r="A63" s="642"/>
      <c r="B63" s="583"/>
      <c r="C63" s="583"/>
      <c r="D63" s="583"/>
      <c r="E63" s="601" t="s">
        <v>279</v>
      </c>
      <c r="F63" s="643">
        <f t="shared" si="0"/>
        <v>54</v>
      </c>
      <c r="G63" s="185">
        <f>'anexa nr.4'!M63</f>
        <v>0</v>
      </c>
      <c r="H63" s="185">
        <f>'anexa nr.4'!L63</f>
        <v>0</v>
      </c>
      <c r="I63" s="185">
        <f>'anexa nr.4'!G63</f>
        <v>0</v>
      </c>
      <c r="J63" s="190"/>
    </row>
    <row r="64" spans="1:10" ht="39" customHeight="1" x14ac:dyDescent="0.2">
      <c r="A64" s="642"/>
      <c r="B64" s="583"/>
      <c r="C64" s="583"/>
      <c r="D64" s="583"/>
      <c r="E64" s="601" t="s">
        <v>168</v>
      </c>
      <c r="F64" s="643">
        <f t="shared" si="0"/>
        <v>55</v>
      </c>
      <c r="G64" s="185">
        <f>'anexa nr.4'!M64</f>
        <v>0</v>
      </c>
      <c r="H64" s="185">
        <f>'anexa nr.4'!L64</f>
        <v>0</v>
      </c>
      <c r="I64" s="185">
        <f>'anexa nr.4'!G64</f>
        <v>0</v>
      </c>
      <c r="J64" s="190"/>
    </row>
    <row r="65" spans="1:10" ht="15.75" customHeight="1" x14ac:dyDescent="0.2">
      <c r="A65" s="642"/>
      <c r="B65" s="583"/>
      <c r="C65" s="583"/>
      <c r="D65" s="583"/>
      <c r="E65" s="583" t="s">
        <v>169</v>
      </c>
      <c r="F65" s="643">
        <f t="shared" si="0"/>
        <v>56</v>
      </c>
      <c r="G65" s="185">
        <f>'anexa nr.4'!M65</f>
        <v>0</v>
      </c>
      <c r="H65" s="185">
        <f>'anexa nr.4'!L65</f>
        <v>0</v>
      </c>
      <c r="I65" s="185">
        <f>'anexa nr.4'!G65</f>
        <v>0</v>
      </c>
      <c r="J65" s="190"/>
    </row>
    <row r="66" spans="1:10" ht="15.75" customHeight="1" x14ac:dyDescent="0.2">
      <c r="A66" s="642"/>
      <c r="B66" s="583"/>
      <c r="C66" s="583"/>
      <c r="D66" s="889" t="s">
        <v>433</v>
      </c>
      <c r="E66" s="906"/>
      <c r="F66" s="643">
        <f t="shared" si="0"/>
        <v>57</v>
      </c>
      <c r="G66" s="185">
        <f>'anexa nr.4'!M66</f>
        <v>381</v>
      </c>
      <c r="H66" s="185">
        <f>'anexa nr.4'!L66</f>
        <v>207.898</v>
      </c>
      <c r="I66" s="185">
        <f>'anexa nr.4'!G66</f>
        <v>375</v>
      </c>
      <c r="J66" s="190">
        <f t="shared" si="1"/>
        <v>1.803769156028437</v>
      </c>
    </row>
    <row r="67" spans="1:10" x14ac:dyDescent="0.2">
      <c r="A67" s="890"/>
      <c r="B67" s="858"/>
      <c r="C67" s="583"/>
      <c r="D67" s="583" t="s">
        <v>170</v>
      </c>
      <c r="E67" s="652" t="s">
        <v>544</v>
      </c>
      <c r="F67" s="643">
        <f t="shared" si="0"/>
        <v>58</v>
      </c>
      <c r="G67" s="185">
        <f>'anexa nr.4'!M67</f>
        <v>200</v>
      </c>
      <c r="H67" s="185">
        <f>'anexa nr.4'!L67</f>
        <v>102.8</v>
      </c>
      <c r="I67" s="185">
        <f>'anexa nr.4'!G67</f>
        <v>200</v>
      </c>
      <c r="J67" s="190">
        <f t="shared" si="1"/>
        <v>1.9455252918287937</v>
      </c>
    </row>
    <row r="68" spans="1:10" x14ac:dyDescent="0.2">
      <c r="A68" s="890"/>
      <c r="B68" s="858"/>
      <c r="C68" s="583"/>
      <c r="D68" s="583" t="s">
        <v>171</v>
      </c>
      <c r="E68" s="601" t="s">
        <v>231</v>
      </c>
      <c r="F68" s="643">
        <f t="shared" si="0"/>
        <v>59</v>
      </c>
      <c r="G68" s="185">
        <f>'anexa nr.4'!M68</f>
        <v>20</v>
      </c>
      <c r="H68" s="185">
        <f>'anexa nr.4'!L68</f>
        <v>12.8</v>
      </c>
      <c r="I68" s="185">
        <f>'anexa nr.4'!G68</f>
        <v>25</v>
      </c>
      <c r="J68" s="190">
        <f t="shared" si="1"/>
        <v>1.953125</v>
      </c>
    </row>
    <row r="69" spans="1:10" ht="20.25" customHeight="1" x14ac:dyDescent="0.2">
      <c r="A69" s="890"/>
      <c r="B69" s="858"/>
      <c r="C69" s="583"/>
      <c r="D69" s="583" t="s">
        <v>172</v>
      </c>
      <c r="E69" s="601" t="s">
        <v>232</v>
      </c>
      <c r="F69" s="643">
        <f t="shared" si="0"/>
        <v>60</v>
      </c>
      <c r="G69" s="185">
        <f>'anexa nr.4'!M69</f>
        <v>41</v>
      </c>
      <c r="H69" s="185">
        <f>'anexa nr.4'!L69</f>
        <v>0</v>
      </c>
      <c r="I69" s="185">
        <f>'anexa nr.4'!G69</f>
        <v>25</v>
      </c>
      <c r="J69" s="190"/>
    </row>
    <row r="70" spans="1:10" x14ac:dyDescent="0.2">
      <c r="A70" s="890"/>
      <c r="B70" s="858"/>
      <c r="C70" s="583"/>
      <c r="D70" s="583" t="s">
        <v>173</v>
      </c>
      <c r="E70" s="583" t="s">
        <v>214</v>
      </c>
      <c r="F70" s="643">
        <f t="shared" si="0"/>
        <v>61</v>
      </c>
      <c r="G70" s="185">
        <f>'anexa nr.4'!M70</f>
        <v>120</v>
      </c>
      <c r="H70" s="185">
        <f>'anexa nr.4'!L70</f>
        <v>92.298000000000002</v>
      </c>
      <c r="I70" s="185">
        <f>'anexa nr.4'!G70</f>
        <v>125</v>
      </c>
      <c r="J70" s="190">
        <f t="shared" si="1"/>
        <v>1.3543088690979219</v>
      </c>
    </row>
    <row r="71" spans="1:10" ht="24.75" customHeight="1" x14ac:dyDescent="0.2">
      <c r="A71" s="890"/>
      <c r="B71" s="858"/>
      <c r="C71" s="583" t="s">
        <v>28</v>
      </c>
      <c r="D71" s="885" t="s">
        <v>228</v>
      </c>
      <c r="E71" s="885"/>
      <c r="F71" s="643">
        <f t="shared" si="0"/>
        <v>62</v>
      </c>
      <c r="G71" s="185">
        <f>'anexa nr.4'!M71</f>
        <v>1110</v>
      </c>
      <c r="H71" s="185">
        <f>'anexa nr.4'!L71</f>
        <v>892.38</v>
      </c>
      <c r="I71" s="185">
        <f>'anexa nr.4'!G71</f>
        <v>900</v>
      </c>
      <c r="J71" s="190">
        <f t="shared" si="1"/>
        <v>1.0085389632219459</v>
      </c>
    </row>
    <row r="72" spans="1:10" x14ac:dyDescent="0.2">
      <c r="A72" s="890"/>
      <c r="B72" s="858"/>
      <c r="C72" s="583" t="s">
        <v>536</v>
      </c>
      <c r="D72" s="859" t="s">
        <v>175</v>
      </c>
      <c r="E72" s="859"/>
      <c r="F72" s="643">
        <f t="shared" si="0"/>
        <v>63</v>
      </c>
      <c r="G72" s="185">
        <f>'anexa nr.4'!M72</f>
        <v>321.66782000000006</v>
      </c>
      <c r="H72" s="185">
        <f>'anexa nr.4'!L72</f>
        <v>95.361999999999995</v>
      </c>
      <c r="I72" s="185">
        <f>'anexa nr.4'!G72</f>
        <v>260</v>
      </c>
      <c r="J72" s="190">
        <f t="shared" si="1"/>
        <v>2.7264528847968794</v>
      </c>
    </row>
    <row r="73" spans="1:10" x14ac:dyDescent="0.2">
      <c r="A73" s="890"/>
      <c r="B73" s="858"/>
      <c r="C73" s="583"/>
      <c r="D73" s="859" t="s">
        <v>176</v>
      </c>
      <c r="E73" s="859"/>
      <c r="F73" s="643">
        <f t="shared" si="0"/>
        <v>64</v>
      </c>
      <c r="G73" s="185">
        <f>'anexa nr.4'!M73</f>
        <v>89.658020000000008</v>
      </c>
      <c r="H73" s="185">
        <f>'anexa nr.4'!L73</f>
        <v>53.439</v>
      </c>
      <c r="I73" s="185">
        <f>'anexa nr.4'!G73</f>
        <v>120</v>
      </c>
      <c r="J73" s="190">
        <f t="shared" si="1"/>
        <v>2.2455510020771348</v>
      </c>
    </row>
    <row r="74" spans="1:10" x14ac:dyDescent="0.2">
      <c r="A74" s="890"/>
      <c r="B74" s="858"/>
      <c r="C74" s="583"/>
      <c r="D74" s="858" t="s">
        <v>12</v>
      </c>
      <c r="E74" s="858"/>
      <c r="F74" s="643">
        <f t="shared" si="0"/>
        <v>65</v>
      </c>
      <c r="G74" s="185">
        <f>'anexa nr.4'!M74</f>
        <v>24</v>
      </c>
      <c r="H74" s="185">
        <f>'anexa nr.4'!L74</f>
        <v>41.923000000000002</v>
      </c>
      <c r="I74" s="185">
        <f>'anexa nr.4'!G74</f>
        <v>65</v>
      </c>
      <c r="J74" s="190">
        <f t="shared" si="1"/>
        <v>1.5504615604799274</v>
      </c>
    </row>
    <row r="75" spans="1:10" x14ac:dyDescent="0.2">
      <c r="A75" s="890"/>
      <c r="B75" s="858"/>
      <c r="C75" s="583"/>
      <c r="D75" s="858" t="s">
        <v>13</v>
      </c>
      <c r="E75" s="858"/>
      <c r="F75" s="643">
        <f t="shared" si="0"/>
        <v>66</v>
      </c>
      <c r="G75" s="185">
        <f>'anexa nr.4'!M75</f>
        <v>65.658020000000008</v>
      </c>
      <c r="H75" s="185">
        <f>'anexa nr.4'!L75</f>
        <v>11.516</v>
      </c>
      <c r="I75" s="185">
        <f>'anexa nr.4'!G75</f>
        <v>55</v>
      </c>
      <c r="J75" s="190">
        <f t="shared" ref="J75:J144" si="2">I75/H75</f>
        <v>4.7759638763459531</v>
      </c>
    </row>
    <row r="76" spans="1:10" x14ac:dyDescent="0.2">
      <c r="A76" s="890"/>
      <c r="B76" s="858"/>
      <c r="C76" s="583" t="s">
        <v>35</v>
      </c>
      <c r="D76" s="858" t="s">
        <v>177</v>
      </c>
      <c r="E76" s="858"/>
      <c r="F76" s="643">
        <f t="shared" ref="F76:F138" si="3">F75+1</f>
        <v>67</v>
      </c>
      <c r="G76" s="185">
        <f>'anexa nr.4'!M76</f>
        <v>266.06465776959999</v>
      </c>
      <c r="H76" s="185">
        <f>'anexa nr.4'!L76</f>
        <v>211.518</v>
      </c>
      <c r="I76" s="185">
        <f>'anexa nr.4'!G76</f>
        <v>296.56387999999998</v>
      </c>
      <c r="J76" s="190">
        <f t="shared" si="2"/>
        <v>1.4020739606085533</v>
      </c>
    </row>
    <row r="77" spans="1:10" ht="13.5" customHeight="1" x14ac:dyDescent="0.2">
      <c r="A77" s="890"/>
      <c r="B77" s="858"/>
      <c r="C77" s="583" t="s">
        <v>178</v>
      </c>
      <c r="D77" s="858" t="s">
        <v>179</v>
      </c>
      <c r="E77" s="858"/>
      <c r="F77" s="643">
        <f t="shared" si="3"/>
        <v>68</v>
      </c>
      <c r="G77" s="185">
        <f>'anexa nr.4'!M77</f>
        <v>336.95199381280003</v>
      </c>
      <c r="H77" s="185">
        <f>'anexa nr.4'!L77</f>
        <v>208.053</v>
      </c>
      <c r="I77" s="185">
        <f>'anexa nr.4'!G77</f>
        <v>289.39087999999998</v>
      </c>
      <c r="J77" s="190">
        <f t="shared" si="2"/>
        <v>1.3909478834719999</v>
      </c>
    </row>
    <row r="78" spans="1:10" ht="18" customHeight="1" x14ac:dyDescent="0.2">
      <c r="A78" s="890"/>
      <c r="B78" s="858"/>
      <c r="C78" s="583" t="s">
        <v>180</v>
      </c>
      <c r="D78" s="859" t="s">
        <v>181</v>
      </c>
      <c r="E78" s="859"/>
      <c r="F78" s="643">
        <f t="shared" si="3"/>
        <v>69</v>
      </c>
      <c r="G78" s="185">
        <f>'anexa nr.4'!M78</f>
        <v>2190.2759192039998</v>
      </c>
      <c r="H78" s="185">
        <f>'anexa nr.4'!L78</f>
        <v>1390.3230000000001</v>
      </c>
      <c r="I78" s="185">
        <f>'anexa nr.4'!G78</f>
        <v>2117.8526499999998</v>
      </c>
      <c r="J78" s="190">
        <f t="shared" si="2"/>
        <v>1.5232810289407568</v>
      </c>
    </row>
    <row r="79" spans="1:10" x14ac:dyDescent="0.2">
      <c r="A79" s="890"/>
      <c r="B79" s="858"/>
      <c r="C79" s="583"/>
      <c r="D79" s="583" t="s">
        <v>56</v>
      </c>
      <c r="E79" s="583" t="s">
        <v>182</v>
      </c>
      <c r="F79" s="643">
        <f t="shared" si="3"/>
        <v>70</v>
      </c>
      <c r="G79" s="185">
        <f>'anexa nr.4'!M79</f>
        <v>600</v>
      </c>
      <c r="H79" s="185">
        <f>'anexa nr.4'!L79</f>
        <v>590</v>
      </c>
      <c r="I79" s="185">
        <f>'anexa nr.4'!G79</f>
        <v>910</v>
      </c>
      <c r="J79" s="190">
        <f t="shared" si="2"/>
        <v>1.5423728813559323</v>
      </c>
    </row>
    <row r="80" spans="1:10" ht="22.5" customHeight="1" x14ac:dyDescent="0.2">
      <c r="A80" s="890"/>
      <c r="B80" s="858"/>
      <c r="C80" s="583"/>
      <c r="D80" s="583" t="s">
        <v>57</v>
      </c>
      <c r="E80" s="601" t="s">
        <v>229</v>
      </c>
      <c r="F80" s="643">
        <f t="shared" si="3"/>
        <v>71</v>
      </c>
      <c r="G80" s="185">
        <f>'anexa nr.4'!M80</f>
        <v>450.28699999999998</v>
      </c>
      <c r="H80" s="185">
        <f>'anexa nr.4'!L80</f>
        <v>81.96</v>
      </c>
      <c r="I80" s="185">
        <f>'anexa nr.4'!G80</f>
        <v>375.5</v>
      </c>
      <c r="J80" s="190">
        <f t="shared" si="2"/>
        <v>4.5815031722791613</v>
      </c>
    </row>
    <row r="81" spans="1:10" x14ac:dyDescent="0.2">
      <c r="A81" s="890"/>
      <c r="B81" s="858"/>
      <c r="C81" s="583"/>
      <c r="D81" s="583" t="s">
        <v>58</v>
      </c>
      <c r="E81" s="583" t="s">
        <v>183</v>
      </c>
      <c r="F81" s="643">
        <f t="shared" si="3"/>
        <v>72</v>
      </c>
      <c r="G81" s="185">
        <f>'anexa nr.4'!M81</f>
        <v>180.17993952640001</v>
      </c>
      <c r="H81" s="185">
        <f>'anexa nr.4'!L81</f>
        <v>84.423000000000002</v>
      </c>
      <c r="I81" s="185">
        <f>'anexa nr.4'!G81</f>
        <v>312.59667999999999</v>
      </c>
      <c r="J81" s="190">
        <f t="shared" si="2"/>
        <v>3.7027430913376684</v>
      </c>
    </row>
    <row r="82" spans="1:10" ht="31.5" customHeight="1" x14ac:dyDescent="0.2">
      <c r="A82" s="890"/>
      <c r="B82" s="858"/>
      <c r="C82" s="583"/>
      <c r="D82" s="583" t="s">
        <v>59</v>
      </c>
      <c r="E82" s="653" t="s">
        <v>184</v>
      </c>
      <c r="F82" s="643">
        <f t="shared" si="3"/>
        <v>73</v>
      </c>
      <c r="G82" s="185">
        <f>'anexa nr.4'!M82</f>
        <v>113</v>
      </c>
      <c r="H82" s="185">
        <f>'anexa nr.4'!L82</f>
        <v>0</v>
      </c>
      <c r="I82" s="185">
        <f>'anexa nr.4'!G82</f>
        <v>0</v>
      </c>
      <c r="J82" s="190"/>
    </row>
    <row r="83" spans="1:10" x14ac:dyDescent="0.2">
      <c r="A83" s="890"/>
      <c r="B83" s="858"/>
      <c r="C83" s="583"/>
      <c r="D83" s="583"/>
      <c r="E83" s="601" t="s">
        <v>14</v>
      </c>
      <c r="F83" s="643">
        <f t="shared" si="3"/>
        <v>74</v>
      </c>
      <c r="G83" s="185">
        <f>'anexa nr.4'!M83</f>
        <v>90</v>
      </c>
      <c r="H83" s="185">
        <f>'anexa nr.4'!L83</f>
        <v>0</v>
      </c>
      <c r="I83" s="185">
        <f>'anexa nr.4'!G83</f>
        <v>0</v>
      </c>
      <c r="J83" s="190"/>
    </row>
    <row r="84" spans="1:10" x14ac:dyDescent="0.2">
      <c r="A84" s="890"/>
      <c r="B84" s="858"/>
      <c r="C84" s="583"/>
      <c r="D84" s="583" t="s">
        <v>60</v>
      </c>
      <c r="E84" s="601" t="s">
        <v>545</v>
      </c>
      <c r="F84" s="643">
        <f t="shared" si="3"/>
        <v>75</v>
      </c>
      <c r="G84" s="185">
        <f>'anexa nr.4'!M84</f>
        <v>731.80897967760006</v>
      </c>
      <c r="H84" s="185">
        <f>'anexa nr.4'!L84</f>
        <v>622.69000000000005</v>
      </c>
      <c r="I84" s="185">
        <f>'anexa nr.4'!G84</f>
        <v>511.75596999999999</v>
      </c>
      <c r="J84" s="190">
        <f t="shared" si="2"/>
        <v>0.821847098877451</v>
      </c>
    </row>
    <row r="85" spans="1:10" ht="33" customHeight="1" x14ac:dyDescent="0.2">
      <c r="A85" s="890"/>
      <c r="B85" s="858"/>
      <c r="C85" s="583"/>
      <c r="D85" s="583" t="s">
        <v>61</v>
      </c>
      <c r="E85" s="601" t="s">
        <v>230</v>
      </c>
      <c r="F85" s="643">
        <f t="shared" si="3"/>
        <v>76</v>
      </c>
      <c r="G85" s="185">
        <f>'anexa nr.4'!M85</f>
        <v>100</v>
      </c>
      <c r="H85" s="185">
        <f>'anexa nr.4'!L85</f>
        <v>0</v>
      </c>
      <c r="I85" s="185">
        <f>'anexa nr.4'!G85</f>
        <v>0</v>
      </c>
      <c r="J85" s="190"/>
    </row>
    <row r="86" spans="1:10" ht="21.75" customHeight="1" x14ac:dyDescent="0.2">
      <c r="A86" s="890"/>
      <c r="B86" s="858"/>
      <c r="C86" s="583"/>
      <c r="D86" s="583" t="s">
        <v>62</v>
      </c>
      <c r="E86" s="601" t="s">
        <v>186</v>
      </c>
      <c r="F86" s="643">
        <f t="shared" si="3"/>
        <v>77</v>
      </c>
      <c r="G86" s="185">
        <f>'anexa nr.4'!M86</f>
        <v>15</v>
      </c>
      <c r="H86" s="185">
        <f>'anexa nr.4'!L86</f>
        <v>11.25</v>
      </c>
      <c r="I86" s="185">
        <f>'anexa nr.4'!G86</f>
        <v>8</v>
      </c>
      <c r="J86" s="190">
        <f t="shared" si="2"/>
        <v>0.71111111111111114</v>
      </c>
    </row>
    <row r="87" spans="1:10" ht="13.5" customHeight="1" x14ac:dyDescent="0.2">
      <c r="A87" s="890"/>
      <c r="B87" s="858"/>
      <c r="C87" s="583" t="s">
        <v>36</v>
      </c>
      <c r="D87" s="891" t="s">
        <v>149</v>
      </c>
      <c r="E87" s="891"/>
      <c r="F87" s="643">
        <f t="shared" si="3"/>
        <v>78</v>
      </c>
      <c r="G87" s="185">
        <f>'anexa nr.4'!M87</f>
        <v>3315.4816007335994</v>
      </c>
      <c r="H87" s="185">
        <f>'anexa nr.4'!L87</f>
        <v>3344.6289999999999</v>
      </c>
      <c r="I87" s="185">
        <f>'anexa nr.4'!G87</f>
        <v>4132.1971899999999</v>
      </c>
      <c r="J87" s="190">
        <f t="shared" si="2"/>
        <v>1.2354725113009544</v>
      </c>
    </row>
    <row r="88" spans="1:10" ht="27" customHeight="1" x14ac:dyDescent="0.2">
      <c r="A88" s="890"/>
      <c r="B88" s="858"/>
      <c r="C88" s="889" t="s">
        <v>434</v>
      </c>
      <c r="D88" s="889"/>
      <c r="E88" s="889"/>
      <c r="F88" s="643">
        <f t="shared" si="3"/>
        <v>79</v>
      </c>
      <c r="G88" s="185">
        <f>'anexa nr.4'!M88</f>
        <v>8857.3574429902001</v>
      </c>
      <c r="H88" s="185">
        <f>'anexa nr.4'!L88</f>
        <v>7611.5870000000004</v>
      </c>
      <c r="I88" s="185">
        <f>'anexa nr.4'!G88</f>
        <v>13805.724490000001</v>
      </c>
      <c r="J88" s="190">
        <f t="shared" si="2"/>
        <v>1.813777401480138</v>
      </c>
    </row>
    <row r="89" spans="1:10" ht="13.5" customHeight="1" x14ac:dyDescent="0.2">
      <c r="A89" s="890"/>
      <c r="B89" s="858"/>
      <c r="C89" s="583" t="s">
        <v>27</v>
      </c>
      <c r="D89" s="859" t="s">
        <v>37</v>
      </c>
      <c r="E89" s="859"/>
      <c r="F89" s="643">
        <f t="shared" si="3"/>
        <v>80</v>
      </c>
      <c r="G89" s="185">
        <f>'anexa nr.4'!M89</f>
        <v>0</v>
      </c>
      <c r="H89" s="185">
        <f>'anexa nr.4'!L89</f>
        <v>0</v>
      </c>
      <c r="I89" s="185">
        <f>'anexa nr.4'!G89</f>
        <v>0</v>
      </c>
      <c r="J89" s="190"/>
    </row>
    <row r="90" spans="1:10" ht="13.5" customHeight="1" x14ac:dyDescent="0.2">
      <c r="A90" s="890"/>
      <c r="B90" s="858"/>
      <c r="C90" s="583" t="s">
        <v>38</v>
      </c>
      <c r="D90" s="859" t="s">
        <v>39</v>
      </c>
      <c r="E90" s="859"/>
      <c r="F90" s="643">
        <f t="shared" si="3"/>
        <v>81</v>
      </c>
      <c r="G90" s="185">
        <f>'anexa nr.4'!M90</f>
        <v>6185.3544865260001</v>
      </c>
      <c r="H90" s="185">
        <f>'anexa nr.4'!L90</f>
        <v>5326.6679999999997</v>
      </c>
      <c r="I90" s="185">
        <f>'anexa nr.4'!G90</f>
        <v>10700</v>
      </c>
      <c r="J90" s="190">
        <f t="shared" si="2"/>
        <v>2.0087604483703512</v>
      </c>
    </row>
    <row r="91" spans="1:10" x14ac:dyDescent="0.2">
      <c r="A91" s="890"/>
      <c r="B91" s="858"/>
      <c r="C91" s="583" t="s">
        <v>40</v>
      </c>
      <c r="D91" s="858" t="s">
        <v>41</v>
      </c>
      <c r="E91" s="858"/>
      <c r="F91" s="643">
        <f t="shared" si="3"/>
        <v>82</v>
      </c>
      <c r="G91" s="185">
        <f>'anexa nr.4'!M91</f>
        <v>25</v>
      </c>
      <c r="H91" s="185">
        <f>'anexa nr.4'!L91</f>
        <v>24.45</v>
      </c>
      <c r="I91" s="185">
        <f>'anexa nr.4'!G91</f>
        <v>40</v>
      </c>
      <c r="J91" s="190">
        <f t="shared" si="2"/>
        <v>1.6359918200408998</v>
      </c>
    </row>
    <row r="92" spans="1:10" x14ac:dyDescent="0.2">
      <c r="A92" s="890"/>
      <c r="B92" s="858"/>
      <c r="C92" s="583" t="s">
        <v>42</v>
      </c>
      <c r="D92" s="858" t="s">
        <v>43</v>
      </c>
      <c r="E92" s="858"/>
      <c r="F92" s="643">
        <f t="shared" si="3"/>
        <v>83</v>
      </c>
      <c r="G92" s="185">
        <f>'anexa nr.4'!M92</f>
        <v>123.6555930048</v>
      </c>
      <c r="H92" s="185">
        <f>'anexa nr.4'!L92</f>
        <v>81.472999999999999</v>
      </c>
      <c r="I92" s="185">
        <f>'anexa nr.4'!G92</f>
        <v>83.31738</v>
      </c>
      <c r="J92" s="190">
        <f t="shared" si="2"/>
        <v>1.0226379291298957</v>
      </c>
    </row>
    <row r="93" spans="1:10" x14ac:dyDescent="0.2">
      <c r="A93" s="890"/>
      <c r="B93" s="858"/>
      <c r="C93" s="583" t="s">
        <v>28</v>
      </c>
      <c r="D93" s="858" t="s">
        <v>44</v>
      </c>
      <c r="E93" s="858"/>
      <c r="F93" s="643">
        <f t="shared" si="3"/>
        <v>84</v>
      </c>
      <c r="G93" s="185">
        <f>'anexa nr.4'!M93</f>
        <v>5</v>
      </c>
      <c r="H93" s="185">
        <f>'anexa nr.4'!L93</f>
        <v>0.75</v>
      </c>
      <c r="I93" s="185">
        <f>'anexa nr.4'!G93</f>
        <v>6</v>
      </c>
      <c r="J93" s="190">
        <f t="shared" si="2"/>
        <v>8</v>
      </c>
    </row>
    <row r="94" spans="1:10" ht="13.5" customHeight="1" x14ac:dyDescent="0.2">
      <c r="A94" s="890"/>
      <c r="B94" s="858"/>
      <c r="C94" s="583" t="s">
        <v>34</v>
      </c>
      <c r="D94" s="858" t="s">
        <v>45</v>
      </c>
      <c r="E94" s="858"/>
      <c r="F94" s="643">
        <f t="shared" si="3"/>
        <v>85</v>
      </c>
      <c r="G94" s="185">
        <f>'anexa nr.4'!M94</f>
        <v>2518.3473634593997</v>
      </c>
      <c r="H94" s="185">
        <f>'anexa nr.4'!L94</f>
        <v>2178.2460000000001</v>
      </c>
      <c r="I94" s="185">
        <f>'anexa nr.4'!G94</f>
        <v>2976.4071099999996</v>
      </c>
      <c r="J94" s="190">
        <f t="shared" si="2"/>
        <v>1.3664237693997829</v>
      </c>
    </row>
    <row r="95" spans="1:10" ht="25.5" customHeight="1" x14ac:dyDescent="0.2">
      <c r="A95" s="890"/>
      <c r="B95" s="858"/>
      <c r="C95" s="889" t="s">
        <v>435</v>
      </c>
      <c r="D95" s="889"/>
      <c r="E95" s="889"/>
      <c r="F95" s="643">
        <f t="shared" si="3"/>
        <v>86</v>
      </c>
      <c r="G95" s="185">
        <f>'anexa nr.4'!M95</f>
        <v>45930.056912022003</v>
      </c>
      <c r="H95" s="185">
        <f>'anexa nr.4'!L95</f>
        <v>44830.120634520004</v>
      </c>
      <c r="I95" s="185">
        <f>'anexa nr.4'!G95</f>
        <v>46664.439328879998</v>
      </c>
      <c r="J95" s="190">
        <f t="shared" si="2"/>
        <v>1.040917103688263</v>
      </c>
    </row>
    <row r="96" spans="1:10" ht="15" customHeight="1" x14ac:dyDescent="0.2">
      <c r="A96" s="890"/>
      <c r="B96" s="858"/>
      <c r="C96" s="80" t="s">
        <v>396</v>
      </c>
      <c r="D96" s="889" t="s">
        <v>413</v>
      </c>
      <c r="E96" s="889"/>
      <c r="F96" s="643">
        <f t="shared" si="3"/>
        <v>87</v>
      </c>
      <c r="G96" s="185">
        <f>'anexa nr.4'!M96</f>
        <v>35737.223402800002</v>
      </c>
      <c r="H96" s="185">
        <f>'anexa nr.4'!L96</f>
        <v>35335.885999999999</v>
      </c>
      <c r="I96" s="187">
        <f>I97+I101</f>
        <v>37486.212</v>
      </c>
      <c r="J96" s="190">
        <f t="shared" si="2"/>
        <v>1.0608538866126069</v>
      </c>
    </row>
    <row r="97" spans="1:10" ht="13.5" customHeight="1" x14ac:dyDescent="0.2">
      <c r="A97" s="890"/>
      <c r="B97" s="858"/>
      <c r="C97" s="583" t="s">
        <v>46</v>
      </c>
      <c r="D97" s="889" t="s">
        <v>436</v>
      </c>
      <c r="E97" s="889"/>
      <c r="F97" s="643">
        <f t="shared" si="3"/>
        <v>88</v>
      </c>
      <c r="G97" s="185">
        <f>'anexa nr.4'!M97</f>
        <v>30821.399634000001</v>
      </c>
      <c r="H97" s="185">
        <f>'anexa nr.4'!L97</f>
        <v>30813.977999999999</v>
      </c>
      <c r="I97" s="185">
        <f>'anexa nr.4'!G97</f>
        <v>32620.337</v>
      </c>
      <c r="J97" s="190">
        <f t="shared" si="2"/>
        <v>1.0586214152551157</v>
      </c>
    </row>
    <row r="98" spans="1:10" ht="13.5" customHeight="1" x14ac:dyDescent="0.2">
      <c r="A98" s="890"/>
      <c r="B98" s="858"/>
      <c r="C98" s="583"/>
      <c r="D98" s="858" t="s">
        <v>537</v>
      </c>
      <c r="E98" s="858"/>
      <c r="F98" s="643">
        <f t="shared" si="3"/>
        <v>89</v>
      </c>
      <c r="G98" s="185">
        <f>'anexa nr.4'!M98</f>
        <v>26657.445100000001</v>
      </c>
      <c r="H98" s="185">
        <f>'anexa nr.4'!L98</f>
        <v>25159.266</v>
      </c>
      <c r="I98" s="185">
        <f>'anexa nr.4'!G98</f>
        <v>28053.831999999999</v>
      </c>
      <c r="J98" s="190">
        <f t="shared" si="2"/>
        <v>1.1150496997805897</v>
      </c>
    </row>
    <row r="99" spans="1:10" ht="13.5" customHeight="1" x14ac:dyDescent="0.2">
      <c r="A99" s="890"/>
      <c r="B99" s="858"/>
      <c r="C99" s="858"/>
      <c r="D99" s="888" t="s">
        <v>191</v>
      </c>
      <c r="E99" s="888"/>
      <c r="F99" s="643">
        <f t="shared" si="3"/>
        <v>90</v>
      </c>
      <c r="G99" s="185">
        <f>'anexa nr.4'!M99</f>
        <v>1383.3126539999998</v>
      </c>
      <c r="H99" s="185">
        <f>'anexa nr.4'!L99</f>
        <v>1294.5450000000001</v>
      </c>
      <c r="I99" s="185">
        <f>'anexa nr.4'!G99</f>
        <v>1438.5719999999999</v>
      </c>
      <c r="J99" s="190">
        <f t="shared" si="2"/>
        <v>1.1112568508626581</v>
      </c>
    </row>
    <row r="100" spans="1:10" ht="13.5" customHeight="1" x14ac:dyDescent="0.2">
      <c r="A100" s="890"/>
      <c r="B100" s="858"/>
      <c r="C100" s="858"/>
      <c r="D100" s="891" t="s">
        <v>192</v>
      </c>
      <c r="E100" s="891"/>
      <c r="F100" s="643">
        <f t="shared" si="3"/>
        <v>91</v>
      </c>
      <c r="G100" s="185">
        <f>'anexa nr.4'!M100</f>
        <v>2780.6418799999997</v>
      </c>
      <c r="H100" s="185">
        <f>'anexa nr.4'!L100</f>
        <v>4360.1670000000004</v>
      </c>
      <c r="I100" s="185">
        <f>'anexa nr.4'!G100</f>
        <v>3127.933</v>
      </c>
      <c r="J100" s="190">
        <f t="shared" si="2"/>
        <v>0.71738834773989157</v>
      </c>
    </row>
    <row r="101" spans="1:10" ht="13.5" customHeight="1" x14ac:dyDescent="0.2">
      <c r="A101" s="890"/>
      <c r="B101" s="858"/>
      <c r="C101" s="583" t="s">
        <v>67</v>
      </c>
      <c r="D101" s="859" t="s">
        <v>64</v>
      </c>
      <c r="E101" s="859"/>
      <c r="F101" s="643">
        <f t="shared" si="3"/>
        <v>92</v>
      </c>
      <c r="G101" s="185">
        <f>'anexa nr.4'!M101</f>
        <v>4915.8237687999999</v>
      </c>
      <c r="H101" s="185">
        <f>'anexa nr.4'!L101</f>
        <v>4521.9080000000004</v>
      </c>
      <c r="I101" s="185">
        <f>'anexa nr.4'!G101</f>
        <v>4865.875</v>
      </c>
      <c r="J101" s="190">
        <f t="shared" si="2"/>
        <v>1.0760667841981746</v>
      </c>
    </row>
    <row r="102" spans="1:10" ht="29.25" customHeight="1" x14ac:dyDescent="0.2">
      <c r="A102" s="890"/>
      <c r="B102" s="858"/>
      <c r="C102" s="583"/>
      <c r="D102" s="888" t="s">
        <v>187</v>
      </c>
      <c r="E102" s="888"/>
      <c r="F102" s="643">
        <f t="shared" si="3"/>
        <v>93</v>
      </c>
      <c r="G102" s="185">
        <f>'anexa nr.4'!M102</f>
        <v>609.00271879999991</v>
      </c>
      <c r="H102" s="185">
        <f>'anexa nr.4'!L102</f>
        <v>622.13599999999997</v>
      </c>
      <c r="I102" s="185">
        <f>'anexa nr.4'!G102</f>
        <v>604.9</v>
      </c>
      <c r="J102" s="190">
        <f t="shared" si="2"/>
        <v>0.97229544665475076</v>
      </c>
    </row>
    <row r="103" spans="1:10" ht="12.75" customHeight="1" x14ac:dyDescent="0.2">
      <c r="A103" s="890"/>
      <c r="B103" s="858"/>
      <c r="C103" s="583"/>
      <c r="D103" s="583"/>
      <c r="E103" s="601" t="s">
        <v>193</v>
      </c>
      <c r="F103" s="643">
        <f t="shared" si="3"/>
        <v>94</v>
      </c>
      <c r="G103" s="185">
        <f>'anexa nr.4'!M103</f>
        <v>0</v>
      </c>
      <c r="H103" s="185">
        <f>'anexa nr.4'!L103</f>
        <v>0</v>
      </c>
      <c r="I103" s="185">
        <f>'anexa nr.4'!G103</f>
        <v>0</v>
      </c>
      <c r="J103" s="190"/>
    </row>
    <row r="104" spans="1:10" ht="27.75" customHeight="1" x14ac:dyDescent="0.2">
      <c r="A104" s="890"/>
      <c r="B104" s="858"/>
      <c r="C104" s="583"/>
      <c r="D104" s="583"/>
      <c r="E104" s="601" t="s">
        <v>280</v>
      </c>
      <c r="F104" s="643">
        <f t="shared" si="3"/>
        <v>95</v>
      </c>
      <c r="G104" s="185">
        <f>'anexa nr.4'!M104</f>
        <v>414.35</v>
      </c>
      <c r="H104" s="185">
        <f>'anexa nr.4'!L104</f>
        <v>361.46</v>
      </c>
      <c r="I104" s="185">
        <f>'anexa nr.4'!G104</f>
        <v>378.4</v>
      </c>
      <c r="J104" s="190">
        <f t="shared" si="2"/>
        <v>1.046865489957395</v>
      </c>
    </row>
    <row r="105" spans="1:10" x14ac:dyDescent="0.2">
      <c r="A105" s="890"/>
      <c r="B105" s="858"/>
      <c r="C105" s="583"/>
      <c r="D105" s="891" t="s">
        <v>74</v>
      </c>
      <c r="E105" s="891"/>
      <c r="F105" s="643">
        <f t="shared" si="3"/>
        <v>96</v>
      </c>
      <c r="G105" s="185">
        <f>'anexa nr.4'!M105</f>
        <v>2006.8210499999998</v>
      </c>
      <c r="H105" s="185">
        <f>'anexa nr.4'!L105</f>
        <v>1799.7719999999999</v>
      </c>
      <c r="I105" s="185">
        <f>'anexa nr.4'!G105</f>
        <v>1960.9749999999999</v>
      </c>
      <c r="J105" s="190">
        <f t="shared" si="2"/>
        <v>1.0895685675741149</v>
      </c>
    </row>
    <row r="106" spans="1:10" ht="13.5" customHeight="1" x14ac:dyDescent="0.2">
      <c r="A106" s="890"/>
      <c r="B106" s="858"/>
      <c r="C106" s="583"/>
      <c r="D106" s="891" t="s">
        <v>281</v>
      </c>
      <c r="E106" s="891"/>
      <c r="F106" s="643">
        <f t="shared" si="3"/>
        <v>97</v>
      </c>
      <c r="G106" s="185">
        <f>'anexa nr.4'!M106</f>
        <v>0</v>
      </c>
      <c r="H106" s="185">
        <f>'anexa nr.4'!L106</f>
        <v>0</v>
      </c>
      <c r="I106" s="185">
        <f>'anexa nr.4'!G106</f>
        <v>0</v>
      </c>
      <c r="J106" s="190"/>
    </row>
    <row r="107" spans="1:10" ht="13.5" customHeight="1" x14ac:dyDescent="0.2">
      <c r="A107" s="890"/>
      <c r="B107" s="858"/>
      <c r="C107" s="583"/>
      <c r="D107" s="888" t="s">
        <v>378</v>
      </c>
      <c r="E107" s="888"/>
      <c r="F107" s="643">
        <f t="shared" si="3"/>
        <v>98</v>
      </c>
      <c r="G107" s="185">
        <f>'anexa nr.4'!M107</f>
        <v>2300</v>
      </c>
      <c r="H107" s="185">
        <f>'anexa nr.4'!L107</f>
        <v>2100</v>
      </c>
      <c r="I107" s="185">
        <f>'anexa nr.4'!G107</f>
        <v>2300</v>
      </c>
      <c r="J107" s="190">
        <f t="shared" si="2"/>
        <v>1.0952380952380953</v>
      </c>
    </row>
    <row r="108" spans="1:10" ht="13.5" customHeight="1" x14ac:dyDescent="0.2">
      <c r="A108" s="890"/>
      <c r="B108" s="858"/>
      <c r="C108" s="583"/>
      <c r="D108" s="891" t="s">
        <v>196</v>
      </c>
      <c r="E108" s="891"/>
      <c r="F108" s="643">
        <f t="shared" si="3"/>
        <v>99</v>
      </c>
      <c r="G108" s="185">
        <f>'anexa nr.4'!M108</f>
        <v>0</v>
      </c>
      <c r="H108" s="185">
        <f>'anexa nr.4'!L108</f>
        <v>0</v>
      </c>
      <c r="I108" s="185">
        <f>'anexa nr.4'!G108</f>
        <v>0</v>
      </c>
      <c r="J108" s="190"/>
    </row>
    <row r="109" spans="1:10" ht="13.5" customHeight="1" x14ac:dyDescent="0.2">
      <c r="A109" s="890"/>
      <c r="B109" s="858"/>
      <c r="C109" s="583" t="s">
        <v>124</v>
      </c>
      <c r="D109" s="859" t="s">
        <v>197</v>
      </c>
      <c r="E109" s="859"/>
      <c r="F109" s="643">
        <f t="shared" si="3"/>
        <v>100</v>
      </c>
      <c r="G109" s="185">
        <f>'anexa nr.4'!M109</f>
        <v>0</v>
      </c>
      <c r="H109" s="185">
        <f>'anexa nr.4'!L109</f>
        <v>0</v>
      </c>
      <c r="I109" s="185">
        <f>'anexa nr.4'!G109</f>
        <v>0</v>
      </c>
      <c r="J109" s="190"/>
    </row>
    <row r="110" spans="1:10" ht="13.5" customHeight="1" x14ac:dyDescent="0.2">
      <c r="A110" s="890"/>
      <c r="B110" s="858"/>
      <c r="C110" s="583"/>
      <c r="D110" s="888" t="s">
        <v>198</v>
      </c>
      <c r="E110" s="888"/>
      <c r="F110" s="643">
        <f t="shared" si="3"/>
        <v>101</v>
      </c>
      <c r="G110" s="185">
        <f>'anexa nr.4'!M110</f>
        <v>0</v>
      </c>
      <c r="H110" s="185">
        <f>'anexa nr.4'!L110</f>
        <v>0</v>
      </c>
      <c r="I110" s="185">
        <f>'anexa nr.4'!G110</f>
        <v>0</v>
      </c>
      <c r="J110" s="190"/>
    </row>
    <row r="111" spans="1:10" ht="13.5" customHeight="1" x14ac:dyDescent="0.2">
      <c r="A111" s="890"/>
      <c r="B111" s="858"/>
      <c r="C111" s="583"/>
      <c r="D111" s="888" t="s">
        <v>199</v>
      </c>
      <c r="E111" s="888"/>
      <c r="F111" s="643">
        <f t="shared" si="3"/>
        <v>102</v>
      </c>
      <c r="G111" s="185">
        <f>'anexa nr.4'!M111</f>
        <v>0</v>
      </c>
      <c r="H111" s="185">
        <f>'anexa nr.4'!L111</f>
        <v>0</v>
      </c>
      <c r="I111" s="185">
        <f>'anexa nr.4'!G111</f>
        <v>0</v>
      </c>
      <c r="J111" s="190"/>
    </row>
    <row r="112" spans="1:10" ht="13.5" customHeight="1" x14ac:dyDescent="0.2">
      <c r="A112" s="890"/>
      <c r="B112" s="858"/>
      <c r="C112" s="583"/>
      <c r="D112" s="888" t="s">
        <v>200</v>
      </c>
      <c r="E112" s="888"/>
      <c r="F112" s="643">
        <f t="shared" si="3"/>
        <v>103</v>
      </c>
      <c r="G112" s="185">
        <f>'anexa nr.4'!M112</f>
        <v>0</v>
      </c>
      <c r="H112" s="185">
        <f>'anexa nr.4'!L112</f>
        <v>0</v>
      </c>
      <c r="I112" s="185">
        <f>'anexa nr.4'!G112</f>
        <v>0</v>
      </c>
      <c r="J112" s="190"/>
    </row>
    <row r="113" spans="1:10" ht="38.25" customHeight="1" x14ac:dyDescent="0.2">
      <c r="A113" s="890"/>
      <c r="B113" s="858"/>
      <c r="C113" s="583" t="s">
        <v>63</v>
      </c>
      <c r="D113" s="888" t="s">
        <v>516</v>
      </c>
      <c r="E113" s="888"/>
      <c r="F113" s="643">
        <f t="shared" si="3"/>
        <v>104</v>
      </c>
      <c r="G113" s="185">
        <f>'anexa nr.4'!M113</f>
        <v>667.19500000000005</v>
      </c>
      <c r="H113" s="185">
        <f>'anexa nr.4'!L113</f>
        <v>557.15499999999997</v>
      </c>
      <c r="I113" s="185">
        <f>'anexa nr.4'!G113</f>
        <v>686.55499999999995</v>
      </c>
      <c r="J113" s="190">
        <f t="shared" si="2"/>
        <v>1.2322513483680484</v>
      </c>
    </row>
    <row r="114" spans="1:10" ht="13.5" customHeight="1" x14ac:dyDescent="0.2">
      <c r="A114" s="890"/>
      <c r="B114" s="858"/>
      <c r="C114" s="877"/>
      <c r="D114" s="891" t="s">
        <v>282</v>
      </c>
      <c r="E114" s="891"/>
      <c r="F114" s="643">
        <f t="shared" si="3"/>
        <v>105</v>
      </c>
      <c r="G114" s="185">
        <f>'anexa nr.4'!M114</f>
        <v>236.5</v>
      </c>
      <c r="H114" s="185">
        <f>'anexa nr.4'!L114</f>
        <v>236.072</v>
      </c>
      <c r="I114" s="185">
        <f>'anexa nr.4'!G114</f>
        <v>258</v>
      </c>
      <c r="J114" s="190">
        <f t="shared" si="2"/>
        <v>1.0928869158561794</v>
      </c>
    </row>
    <row r="115" spans="1:10" ht="13.5" customHeight="1" x14ac:dyDescent="0.2">
      <c r="A115" s="890"/>
      <c r="B115" s="858"/>
      <c r="C115" s="877"/>
      <c r="D115" s="561"/>
      <c r="E115" s="654" t="s">
        <v>414</v>
      </c>
      <c r="F115" s="643">
        <f t="shared" si="3"/>
        <v>106</v>
      </c>
      <c r="G115" s="185">
        <f>'anexa nr.4'!M115</f>
        <v>79.5</v>
      </c>
      <c r="H115" s="185">
        <f>'anexa nr.4'!L115</f>
        <v>236.072</v>
      </c>
      <c r="I115" s="185"/>
      <c r="J115" s="190"/>
    </row>
    <row r="116" spans="1:10" ht="13.5" customHeight="1" x14ac:dyDescent="0.2">
      <c r="A116" s="890"/>
      <c r="B116" s="858"/>
      <c r="C116" s="877"/>
      <c r="D116" s="561"/>
      <c r="E116" s="654" t="s">
        <v>415</v>
      </c>
      <c r="F116" s="643">
        <f t="shared" si="3"/>
        <v>107</v>
      </c>
      <c r="G116" s="185">
        <f>'anexa nr.4'!M116</f>
        <v>157</v>
      </c>
      <c r="H116" s="185">
        <f>'anexa nr.4'!L116</f>
        <v>0</v>
      </c>
      <c r="I116" s="185"/>
      <c r="J116" s="190"/>
    </row>
    <row r="117" spans="1:10" ht="13.5" customHeight="1" x14ac:dyDescent="0.2">
      <c r="A117" s="890"/>
      <c r="B117" s="858"/>
      <c r="C117" s="877"/>
      <c r="D117" s="859" t="s">
        <v>379</v>
      </c>
      <c r="E117" s="859"/>
      <c r="F117" s="643">
        <f t="shared" si="3"/>
        <v>108</v>
      </c>
      <c r="G117" s="185">
        <f>'anexa nr.4'!M117</f>
        <v>307.09500000000003</v>
      </c>
      <c r="H117" s="185">
        <f>'anexa nr.4'!L117</f>
        <v>289.45800000000003</v>
      </c>
      <c r="I117" s="185">
        <f>'anexa nr.4'!G117</f>
        <v>333.18</v>
      </c>
      <c r="J117" s="190">
        <f t="shared" si="2"/>
        <v>1.1510478204091785</v>
      </c>
    </row>
    <row r="118" spans="1:10" ht="13.5" customHeight="1" x14ac:dyDescent="0.2">
      <c r="A118" s="890"/>
      <c r="B118" s="858"/>
      <c r="C118" s="877"/>
      <c r="D118" s="561"/>
      <c r="E118" s="654" t="s">
        <v>414</v>
      </c>
      <c r="F118" s="643">
        <f t="shared" si="3"/>
        <v>109</v>
      </c>
      <c r="G118" s="185">
        <f>'anexa nr.4'!M118</f>
        <v>243.52</v>
      </c>
      <c r="H118" s="185">
        <f>'anexa nr.4'!L118</f>
        <v>289.45800000000003</v>
      </c>
      <c r="I118" s="185">
        <f>'anexa nr.4'!G118</f>
        <v>265.68</v>
      </c>
      <c r="J118" s="190"/>
    </row>
    <row r="119" spans="1:10" ht="13.5" customHeight="1" x14ac:dyDescent="0.2">
      <c r="A119" s="890"/>
      <c r="B119" s="858"/>
      <c r="C119" s="877"/>
      <c r="D119" s="561"/>
      <c r="E119" s="654" t="s">
        <v>415</v>
      </c>
      <c r="F119" s="643">
        <f t="shared" si="3"/>
        <v>110</v>
      </c>
      <c r="G119" s="185">
        <f>'anexa nr.4'!M119</f>
        <v>63.575000000000003</v>
      </c>
      <c r="H119" s="185">
        <f>'anexa nr.4'!L119</f>
        <v>0</v>
      </c>
      <c r="I119" s="185">
        <f>'anexa nr.4'!G119</f>
        <v>67.5</v>
      </c>
      <c r="J119" s="190"/>
    </row>
    <row r="120" spans="1:10" ht="13.5" customHeight="1" x14ac:dyDescent="0.2">
      <c r="A120" s="890"/>
      <c r="B120" s="858"/>
      <c r="C120" s="877"/>
      <c r="D120" s="891" t="s">
        <v>202</v>
      </c>
      <c r="E120" s="891"/>
      <c r="F120" s="643">
        <f t="shared" si="3"/>
        <v>111</v>
      </c>
      <c r="G120" s="185">
        <f>'anexa nr.4'!M120</f>
        <v>123.6</v>
      </c>
      <c r="H120" s="185">
        <f>'anexa nr.4'!L120</f>
        <v>31.625</v>
      </c>
      <c r="I120" s="185">
        <f>'anexa nr.4'!G120</f>
        <v>95.375</v>
      </c>
      <c r="J120" s="190">
        <f t="shared" si="2"/>
        <v>3.0158102766798418</v>
      </c>
    </row>
    <row r="121" spans="1:10" ht="13.5" customHeight="1" x14ac:dyDescent="0.2">
      <c r="A121" s="890"/>
      <c r="B121" s="858"/>
      <c r="C121" s="877"/>
      <c r="D121" s="859" t="s">
        <v>203</v>
      </c>
      <c r="E121" s="859"/>
      <c r="F121" s="643">
        <f t="shared" si="3"/>
        <v>112</v>
      </c>
      <c r="G121" s="185">
        <f>'anexa nr.4'!M121</f>
        <v>0</v>
      </c>
      <c r="H121" s="185">
        <f>'anexa nr.4'!L121</f>
        <v>0</v>
      </c>
      <c r="I121" s="185">
        <f>'anexa nr.4'!G121</f>
        <v>0</v>
      </c>
      <c r="J121" s="190"/>
    </row>
    <row r="122" spans="1:10" ht="45.75" customHeight="1" x14ac:dyDescent="0.2">
      <c r="A122" s="890"/>
      <c r="B122" s="858"/>
      <c r="C122" s="80" t="s">
        <v>68</v>
      </c>
      <c r="D122" s="889" t="s">
        <v>437</v>
      </c>
      <c r="E122" s="889"/>
      <c r="F122" s="643">
        <f t="shared" si="3"/>
        <v>113</v>
      </c>
      <c r="G122" s="185">
        <f>'anexa nr.4'!M122</f>
        <v>9525.6385092220007</v>
      </c>
      <c r="H122" s="185">
        <f>'anexa nr.4'!L122</f>
        <v>8937.0796345199997</v>
      </c>
      <c r="I122" s="185">
        <f>'anexa nr.4'!G122</f>
        <v>8491.6723288800004</v>
      </c>
      <c r="J122" s="190">
        <f t="shared" si="2"/>
        <v>0.9501618734693168</v>
      </c>
    </row>
    <row r="123" spans="1:10" x14ac:dyDescent="0.2">
      <c r="A123" s="890"/>
      <c r="B123" s="858"/>
      <c r="C123" s="858"/>
      <c r="D123" s="859" t="s">
        <v>205</v>
      </c>
      <c r="E123" s="859"/>
      <c r="F123" s="643">
        <f t="shared" si="3"/>
        <v>114</v>
      </c>
      <c r="G123" s="185">
        <f>'anexa nr.4'!M123</f>
        <v>7149.0347853100002</v>
      </c>
      <c r="H123" s="185">
        <f>'anexa nr.4'!L123</f>
        <v>6668.9420105199997</v>
      </c>
      <c r="I123" s="185">
        <f>'anexa nr.4'!G123</f>
        <v>6070.4036728800011</v>
      </c>
      <c r="J123" s="190">
        <f t="shared" si="2"/>
        <v>0.91024988121116857</v>
      </c>
    </row>
    <row r="124" spans="1:10" ht="13.5" customHeight="1" x14ac:dyDescent="0.2">
      <c r="A124" s="890"/>
      <c r="B124" s="858"/>
      <c r="C124" s="858"/>
      <c r="D124" s="859" t="s">
        <v>283</v>
      </c>
      <c r="E124" s="859"/>
      <c r="F124" s="643">
        <f t="shared" si="3"/>
        <v>115</v>
      </c>
      <c r="G124" s="185">
        <f>'anexa nr.4'!M124</f>
        <v>364.89860525500006</v>
      </c>
      <c r="H124" s="185">
        <f>'anexa nr.4'!L124</f>
        <v>243.136135</v>
      </c>
      <c r="I124" s="185">
        <f>'anexa nr.4'!G124</f>
        <v>267.05168999999995</v>
      </c>
      <c r="J124" s="190">
        <f t="shared" si="2"/>
        <v>1.0983628163703432</v>
      </c>
    </row>
    <row r="125" spans="1:10" ht="13.5" customHeight="1" x14ac:dyDescent="0.2">
      <c r="A125" s="890"/>
      <c r="B125" s="858"/>
      <c r="C125" s="858"/>
      <c r="D125" s="859" t="s">
        <v>207</v>
      </c>
      <c r="E125" s="859"/>
      <c r="F125" s="643">
        <f t="shared" si="3"/>
        <v>116</v>
      </c>
      <c r="G125" s="185">
        <f>'anexa nr.4'!M125</f>
        <v>2011.7051186570002</v>
      </c>
      <c r="H125" s="185">
        <f>'anexa nr.4'!L125</f>
        <v>2025.001489</v>
      </c>
      <c r="I125" s="185">
        <f>'anexa nr.4'!G125</f>
        <v>2154.2169659999995</v>
      </c>
      <c r="J125" s="190">
        <f t="shared" si="2"/>
        <v>1.0638100651786728</v>
      </c>
    </row>
    <row r="126" spans="1:10" ht="13.5" customHeight="1" x14ac:dyDescent="0.2">
      <c r="A126" s="890"/>
      <c r="B126" s="858"/>
      <c r="C126" s="858"/>
      <c r="D126" s="888" t="s">
        <v>208</v>
      </c>
      <c r="E126" s="888"/>
      <c r="F126" s="643">
        <f t="shared" si="3"/>
        <v>117</v>
      </c>
      <c r="G126" s="185">
        <f>'anexa nr.4'!M126</f>
        <v>0</v>
      </c>
      <c r="H126" s="185">
        <f>'anexa nr.4'!L126</f>
        <v>0</v>
      </c>
      <c r="I126" s="185">
        <f>'anexa nr.4'!G126</f>
        <v>0</v>
      </c>
      <c r="J126" s="190"/>
    </row>
    <row r="127" spans="1:10" ht="15.75" customHeight="1" x14ac:dyDescent="0.2">
      <c r="A127" s="890"/>
      <c r="B127" s="858"/>
      <c r="C127" s="858"/>
      <c r="D127" s="859" t="s">
        <v>380</v>
      </c>
      <c r="E127" s="859"/>
      <c r="F127" s="643">
        <f t="shared" si="3"/>
        <v>118</v>
      </c>
      <c r="G127" s="185">
        <f>'anexa nr.4'!M127</f>
        <v>0</v>
      </c>
      <c r="H127" s="185">
        <f>'anexa nr.4'!L127</f>
        <v>0</v>
      </c>
      <c r="I127" s="185">
        <f>'anexa nr.4'!G127</f>
        <v>0</v>
      </c>
      <c r="J127" s="190"/>
    </row>
    <row r="128" spans="1:10" ht="13.5" customHeight="1" x14ac:dyDescent="0.2">
      <c r="A128" s="890"/>
      <c r="B128" s="858"/>
      <c r="C128" s="858"/>
      <c r="D128" s="859" t="s">
        <v>284</v>
      </c>
      <c r="E128" s="859"/>
      <c r="F128" s="643">
        <f t="shared" si="3"/>
        <v>119</v>
      </c>
      <c r="G128" s="185">
        <f>'anexa nr.4'!M128</f>
        <v>0</v>
      </c>
      <c r="H128" s="185">
        <f>'anexa nr.4'!L128</f>
        <v>0</v>
      </c>
      <c r="I128" s="185">
        <f>'anexa nr.4'!G128</f>
        <v>0</v>
      </c>
      <c r="J128" s="190"/>
    </row>
    <row r="129" spans="1:10" ht="42" customHeight="1" x14ac:dyDescent="0.2">
      <c r="A129" s="890"/>
      <c r="B129" s="858"/>
      <c r="C129" s="889" t="s">
        <v>438</v>
      </c>
      <c r="D129" s="889"/>
      <c r="E129" s="889"/>
      <c r="F129" s="643">
        <f t="shared" si="3"/>
        <v>120</v>
      </c>
      <c r="G129" s="185">
        <f>'anexa nr.4'!M129</f>
        <v>13228.330763439999</v>
      </c>
      <c r="H129" s="185">
        <f>'anexa nr.4'!L129</f>
        <v>11060.724</v>
      </c>
      <c r="I129" s="185">
        <f>'anexa nr.4'!G129</f>
        <v>9352.6036100000001</v>
      </c>
      <c r="J129" s="190">
        <f t="shared" si="2"/>
        <v>0.84556884431796686</v>
      </c>
    </row>
    <row r="130" spans="1:10" ht="15.75" customHeight="1" x14ac:dyDescent="0.2">
      <c r="A130" s="890"/>
      <c r="B130" s="858"/>
      <c r="C130" s="583" t="s">
        <v>27</v>
      </c>
      <c r="D130" s="859" t="s">
        <v>517</v>
      </c>
      <c r="E130" s="859"/>
      <c r="F130" s="643">
        <f t="shared" si="3"/>
        <v>121</v>
      </c>
      <c r="G130" s="185">
        <f>'anexa nr.4'!M130</f>
        <v>36.223928730400004</v>
      </c>
      <c r="H130" s="185">
        <f>'anexa nr.4'!L130</f>
        <v>230.697</v>
      </c>
      <c r="I130" s="185">
        <f>'anexa nr.4'!G130</f>
        <v>165.87952999999999</v>
      </c>
      <c r="J130" s="190">
        <f t="shared" si="2"/>
        <v>0.71903635504579599</v>
      </c>
    </row>
    <row r="131" spans="1:10" ht="15.75" customHeight="1" x14ac:dyDescent="0.2">
      <c r="A131" s="890"/>
      <c r="B131" s="858"/>
      <c r="C131" s="583"/>
      <c r="D131" s="858" t="s">
        <v>285</v>
      </c>
      <c r="E131" s="858"/>
      <c r="F131" s="643">
        <f t="shared" si="3"/>
        <v>122</v>
      </c>
      <c r="G131" s="185">
        <f>'anexa nr.4'!M131</f>
        <v>20</v>
      </c>
      <c r="H131" s="185">
        <f>'anexa nr.4'!L131</f>
        <v>125.518</v>
      </c>
      <c r="I131" s="185">
        <f>'anexa nr.4'!G131</f>
        <v>80</v>
      </c>
      <c r="J131" s="190">
        <f t="shared" si="2"/>
        <v>0.63735878519415545</v>
      </c>
    </row>
    <row r="132" spans="1:10" x14ac:dyDescent="0.2">
      <c r="A132" s="890"/>
      <c r="B132" s="858"/>
      <c r="C132" s="583"/>
      <c r="D132" s="858" t="s">
        <v>286</v>
      </c>
      <c r="E132" s="858"/>
      <c r="F132" s="643">
        <f t="shared" si="3"/>
        <v>123</v>
      </c>
      <c r="G132" s="185">
        <f>'anexa nr.4'!M132</f>
        <v>16.223928730399997</v>
      </c>
      <c r="H132" s="185">
        <f>'anexa nr.4'!L132</f>
        <v>105.179</v>
      </c>
      <c r="I132" s="185">
        <f>'anexa nr.4'!G132</f>
        <v>85.879530000000003</v>
      </c>
      <c r="J132" s="190">
        <f t="shared" si="2"/>
        <v>0.81650833341256335</v>
      </c>
    </row>
    <row r="133" spans="1:10" ht="13.5" customHeight="1" x14ac:dyDescent="0.2">
      <c r="A133" s="890"/>
      <c r="B133" s="858"/>
      <c r="C133" s="583" t="s">
        <v>38</v>
      </c>
      <c r="D133" s="858" t="s">
        <v>213</v>
      </c>
      <c r="E133" s="858"/>
      <c r="F133" s="643">
        <f t="shared" si="3"/>
        <v>124</v>
      </c>
      <c r="G133" s="185">
        <f>'anexa nr.4'!M133</f>
        <v>30</v>
      </c>
      <c r="H133" s="185">
        <f>'anexa nr.4'!L133</f>
        <v>1.3280000000000001</v>
      </c>
      <c r="I133" s="185">
        <f>'anexa nr.4'!G133</f>
        <v>0</v>
      </c>
      <c r="J133" s="190"/>
    </row>
    <row r="134" spans="1:10" ht="15.75" customHeight="1" x14ac:dyDescent="0.2">
      <c r="A134" s="890"/>
      <c r="B134" s="858"/>
      <c r="C134" s="583" t="s">
        <v>40</v>
      </c>
      <c r="D134" s="859" t="s">
        <v>287</v>
      </c>
      <c r="E134" s="859"/>
      <c r="F134" s="643">
        <f t="shared" si="3"/>
        <v>125</v>
      </c>
      <c r="G134" s="185">
        <f>'anexa nr.4'!M134</f>
        <v>0</v>
      </c>
      <c r="H134" s="185">
        <f>'anexa nr.4'!L134</f>
        <v>0</v>
      </c>
      <c r="I134" s="185">
        <f>'anexa nr.4'!G134</f>
        <v>0</v>
      </c>
      <c r="J134" s="190"/>
    </row>
    <row r="135" spans="1:10" ht="15.75" customHeight="1" x14ac:dyDescent="0.2">
      <c r="A135" s="890"/>
      <c r="B135" s="858"/>
      <c r="C135" s="583" t="s">
        <v>42</v>
      </c>
      <c r="D135" s="858" t="s">
        <v>149</v>
      </c>
      <c r="E135" s="858"/>
      <c r="F135" s="643">
        <f t="shared" si="3"/>
        <v>126</v>
      </c>
      <c r="G135" s="185">
        <f>'anexa nr.4'!M135</f>
        <v>422.92705685299995</v>
      </c>
      <c r="H135" s="185">
        <f>'anexa nr.4'!L135</f>
        <v>303.358</v>
      </c>
      <c r="I135" s="185">
        <f>'anexa nr.4'!G135</f>
        <v>0.40449000000000002</v>
      </c>
      <c r="J135" s="190"/>
    </row>
    <row r="136" spans="1:10" ht="15.75" customHeight="1" x14ac:dyDescent="0.2">
      <c r="A136" s="890"/>
      <c r="B136" s="858"/>
      <c r="C136" s="583" t="s">
        <v>28</v>
      </c>
      <c r="D136" s="859" t="s">
        <v>288</v>
      </c>
      <c r="E136" s="859"/>
      <c r="F136" s="643">
        <f t="shared" si="3"/>
        <v>127</v>
      </c>
      <c r="G136" s="185">
        <f>'anexa nr.4'!M136</f>
        <v>9585.2944278565974</v>
      </c>
      <c r="H136" s="185">
        <f>'anexa nr.4'!L136</f>
        <v>7099.0959999999995</v>
      </c>
      <c r="I136" s="185">
        <f>'anexa nr.4'!G136</f>
        <v>7816.8031900000005</v>
      </c>
      <c r="J136" s="190">
        <f t="shared" si="2"/>
        <v>1.1010983919642727</v>
      </c>
    </row>
    <row r="137" spans="1:10" ht="33.75" customHeight="1" x14ac:dyDescent="0.2">
      <c r="A137" s="890"/>
      <c r="B137" s="858"/>
      <c r="C137" s="583" t="s">
        <v>34</v>
      </c>
      <c r="D137" s="859" t="s">
        <v>518</v>
      </c>
      <c r="E137" s="859"/>
      <c r="F137" s="643">
        <f t="shared" si="3"/>
        <v>128</v>
      </c>
      <c r="G137" s="185">
        <f>'anexa nr.4'!M137</f>
        <v>3153.88535</v>
      </c>
      <c r="H137" s="185">
        <f>'anexa nr.4'!L137</f>
        <v>3426.2449999999999</v>
      </c>
      <c r="I137" s="185">
        <f>'anexa nr.4'!G137</f>
        <v>1369.5164</v>
      </c>
      <c r="J137" s="190">
        <f t="shared" si="2"/>
        <v>0.39971350560161345</v>
      </c>
    </row>
    <row r="138" spans="1:10" ht="15.75" customHeight="1" x14ac:dyDescent="0.2">
      <c r="A138" s="890"/>
      <c r="B138" s="583"/>
      <c r="C138" s="583"/>
      <c r="D138" s="583" t="s">
        <v>51</v>
      </c>
      <c r="E138" s="601" t="s">
        <v>289</v>
      </c>
      <c r="F138" s="643">
        <f t="shared" si="3"/>
        <v>129</v>
      </c>
      <c r="G138" s="185">
        <f>'anexa nr.4'!M138</f>
        <v>6420</v>
      </c>
      <c r="H138" s="185">
        <f>'anexa nr.4'!L138</f>
        <v>7000</v>
      </c>
      <c r="I138" s="185">
        <f>'anexa nr.4'!G138</f>
        <v>4460</v>
      </c>
      <c r="J138" s="190">
        <f t="shared" si="2"/>
        <v>0.63714285714285712</v>
      </c>
    </row>
    <row r="139" spans="1:10" ht="15.75" customHeight="1" x14ac:dyDescent="0.2">
      <c r="A139" s="890"/>
      <c r="B139" s="583"/>
      <c r="C139" s="583"/>
      <c r="D139" s="152" t="s">
        <v>416</v>
      </c>
      <c r="E139" s="654" t="s">
        <v>417</v>
      </c>
      <c r="F139" s="655">
        <v>130</v>
      </c>
      <c r="G139" s="185">
        <f>'anexa nr.4'!M139</f>
        <v>2300</v>
      </c>
      <c r="H139" s="185">
        <f>'anexa nr.4'!L139</f>
        <v>2300</v>
      </c>
      <c r="I139" s="185">
        <f>'anexa nr.4'!G139</f>
        <v>2300</v>
      </c>
      <c r="J139" s="190"/>
    </row>
    <row r="140" spans="1:10" ht="15.75" customHeight="1" x14ac:dyDescent="0.2">
      <c r="A140" s="890"/>
      <c r="B140" s="583"/>
      <c r="C140" s="583"/>
      <c r="D140" s="152" t="s">
        <v>418</v>
      </c>
      <c r="E140" s="654" t="s">
        <v>419</v>
      </c>
      <c r="F140" s="655" t="s">
        <v>420</v>
      </c>
      <c r="G140" s="185">
        <f>'anexa nr.4'!M140</f>
        <v>0</v>
      </c>
      <c r="H140" s="185">
        <f>'anexa nr.4'!L140</f>
        <v>0</v>
      </c>
      <c r="I140" s="185"/>
      <c r="J140" s="190"/>
    </row>
    <row r="141" spans="1:10" ht="25.5" x14ac:dyDescent="0.2">
      <c r="A141" s="890"/>
      <c r="B141" s="583"/>
      <c r="C141" s="583"/>
      <c r="D141" s="651" t="s">
        <v>52</v>
      </c>
      <c r="E141" s="653" t="s">
        <v>290</v>
      </c>
      <c r="F141" s="643">
        <v>131</v>
      </c>
      <c r="G141" s="185">
        <f>'anexa nr.4'!M141</f>
        <v>3266.11465</v>
      </c>
      <c r="H141" s="185">
        <f>'anexa nr.4'!L141</f>
        <v>3573.7550000000001</v>
      </c>
      <c r="I141" s="185">
        <f>'anexa nr.4'!G141</f>
        <v>3090.4836</v>
      </c>
      <c r="J141" s="190">
        <f t="shared" si="2"/>
        <v>0.86477209545701927</v>
      </c>
    </row>
    <row r="142" spans="1:10" ht="15.75" customHeight="1" x14ac:dyDescent="0.2">
      <c r="A142" s="890"/>
      <c r="B142" s="583"/>
      <c r="C142" s="583"/>
      <c r="D142" s="583" t="s">
        <v>65</v>
      </c>
      <c r="E142" s="601" t="s">
        <v>519</v>
      </c>
      <c r="F142" s="643">
        <f t="shared" ref="F142:F159" si="4">F141+1</f>
        <v>132</v>
      </c>
      <c r="G142" s="185">
        <f>'anexa nr.4'!M142</f>
        <v>3266.11465</v>
      </c>
      <c r="H142" s="185">
        <f>'anexa nr.4'!L142</f>
        <v>3573.7550000000001</v>
      </c>
      <c r="I142" s="185">
        <f>'anexa nr.4'!G142</f>
        <v>3090.4836</v>
      </c>
      <c r="J142" s="190">
        <f t="shared" si="2"/>
        <v>0.86477209545701927</v>
      </c>
    </row>
    <row r="143" spans="1:10" x14ac:dyDescent="0.2">
      <c r="A143" s="890"/>
      <c r="B143" s="583"/>
      <c r="C143" s="583"/>
      <c r="D143" s="583"/>
      <c r="E143" s="601" t="s">
        <v>291</v>
      </c>
      <c r="F143" s="643">
        <f>F142+1</f>
        <v>133</v>
      </c>
      <c r="G143" s="185">
        <f>'anexa nr.4'!M143</f>
        <v>2000</v>
      </c>
      <c r="H143" s="185">
        <f>'anexa nr.4'!L143</f>
        <v>2100</v>
      </c>
      <c r="I143" s="185">
        <f>'anexa nr.4'!G143</f>
        <v>2300</v>
      </c>
      <c r="J143" s="190">
        <f t="shared" si="2"/>
        <v>1.0952380952380953</v>
      </c>
    </row>
    <row r="144" spans="1:10" x14ac:dyDescent="0.2">
      <c r="A144" s="890"/>
      <c r="B144" s="583"/>
      <c r="C144" s="583"/>
      <c r="D144" s="583"/>
      <c r="E144" s="601" t="s">
        <v>292</v>
      </c>
      <c r="F144" s="643">
        <f t="shared" si="4"/>
        <v>134</v>
      </c>
      <c r="G144" s="185">
        <f>'anexa nr.4'!M144</f>
        <v>1266.11465</v>
      </c>
      <c r="H144" s="185">
        <f>'anexa nr.4'!L144</f>
        <v>778.98199999999997</v>
      </c>
      <c r="I144" s="185">
        <f>'anexa nr.4'!G144</f>
        <v>748.00599999999997</v>
      </c>
      <c r="J144" s="190">
        <f t="shared" si="2"/>
        <v>0.96023528143140668</v>
      </c>
    </row>
    <row r="145" spans="1:11" ht="13.5" customHeight="1" x14ac:dyDescent="0.2">
      <c r="A145" s="890"/>
      <c r="B145" s="583"/>
      <c r="C145" s="583"/>
      <c r="D145" s="583"/>
      <c r="E145" s="644" t="s">
        <v>293</v>
      </c>
      <c r="F145" s="643">
        <f t="shared" si="4"/>
        <v>135</v>
      </c>
      <c r="G145" s="185">
        <f>'anexa nr.4'!M145</f>
        <v>0</v>
      </c>
      <c r="H145" s="185">
        <f>'anexa nr.4'!L145</f>
        <v>694.77300000000002</v>
      </c>
      <c r="I145" s="185">
        <f>'anexa nr.4'!G145</f>
        <v>42.477599999999995</v>
      </c>
      <c r="J145" s="190"/>
    </row>
    <row r="146" spans="1:11" ht="15.75" customHeight="1" x14ac:dyDescent="0.2">
      <c r="A146" s="890"/>
      <c r="B146" s="583" t="s">
        <v>21</v>
      </c>
      <c r="C146" s="583"/>
      <c r="D146" s="889" t="s">
        <v>439</v>
      </c>
      <c r="E146" s="889"/>
      <c r="F146" s="643">
        <f t="shared" si="4"/>
        <v>136</v>
      </c>
      <c r="G146" s="185">
        <f>'anexa nr.4'!M146</f>
        <v>2401.1790000000001</v>
      </c>
      <c r="H146" s="185">
        <f>'anexa nr.4'!L146</f>
        <v>1789.077</v>
      </c>
      <c r="I146" s="185">
        <f>'anexa nr.4'!G146</f>
        <v>1810</v>
      </c>
      <c r="J146" s="190">
        <f t="shared" ref="J146:J166" si="5">I146/H146</f>
        <v>1.0116948571805462</v>
      </c>
    </row>
    <row r="147" spans="1:11" ht="15.75" customHeight="1" x14ac:dyDescent="0.2">
      <c r="A147" s="890"/>
      <c r="B147" s="858"/>
      <c r="C147" s="583" t="s">
        <v>27</v>
      </c>
      <c r="D147" s="859" t="s">
        <v>519</v>
      </c>
      <c r="E147" s="859"/>
      <c r="F147" s="643">
        <f t="shared" si="4"/>
        <v>137</v>
      </c>
      <c r="G147" s="185">
        <f>'anexa nr.4'!M147</f>
        <v>801.17899999999997</v>
      </c>
      <c r="H147" s="185">
        <f>'anexa nr.4'!L147</f>
        <v>609.61800000000005</v>
      </c>
      <c r="I147" s="185">
        <f>'anexa nr.4'!G147</f>
        <v>900</v>
      </c>
      <c r="J147" s="190">
        <f t="shared" si="5"/>
        <v>1.4763343602058994</v>
      </c>
    </row>
    <row r="148" spans="1:11" x14ac:dyDescent="0.2">
      <c r="A148" s="890"/>
      <c r="B148" s="858"/>
      <c r="C148" s="583"/>
      <c r="D148" s="583" t="s">
        <v>237</v>
      </c>
      <c r="E148" s="644" t="s">
        <v>294</v>
      </c>
      <c r="F148" s="643">
        <f t="shared" si="4"/>
        <v>138</v>
      </c>
      <c r="G148" s="185">
        <f>'anexa nr.4'!M148</f>
        <v>801.17899999999997</v>
      </c>
      <c r="H148" s="185">
        <f>'anexa nr.4'!L148</f>
        <v>609.61800000000005</v>
      </c>
      <c r="I148" s="185">
        <f>'anexa nr.4'!G148</f>
        <v>900</v>
      </c>
      <c r="J148" s="190">
        <f t="shared" si="5"/>
        <v>1.4763343602058994</v>
      </c>
    </row>
    <row r="149" spans="1:11" ht="13.5" customHeight="1" x14ac:dyDescent="0.2">
      <c r="A149" s="890"/>
      <c r="B149" s="858"/>
      <c r="C149" s="583"/>
      <c r="D149" s="651" t="s">
        <v>66</v>
      </c>
      <c r="E149" s="601" t="s">
        <v>295</v>
      </c>
      <c r="F149" s="643">
        <f t="shared" si="4"/>
        <v>139</v>
      </c>
      <c r="G149" s="185">
        <f>'anexa nr.4'!M149</f>
        <v>0</v>
      </c>
      <c r="H149" s="185">
        <f>'anexa nr.4'!L149</f>
        <v>0</v>
      </c>
      <c r="I149" s="185">
        <f>'anexa nr.4'!G149</f>
        <v>0</v>
      </c>
      <c r="J149" s="190"/>
    </row>
    <row r="150" spans="1:11" ht="31.5" customHeight="1" x14ac:dyDescent="0.2">
      <c r="A150" s="890"/>
      <c r="B150" s="858"/>
      <c r="C150" s="583" t="s">
        <v>38</v>
      </c>
      <c r="D150" s="889" t="s">
        <v>440</v>
      </c>
      <c r="E150" s="889"/>
      <c r="F150" s="643">
        <f t="shared" si="4"/>
        <v>140</v>
      </c>
      <c r="G150" s="185">
        <f>'anexa nr.4'!M150</f>
        <v>1100</v>
      </c>
      <c r="H150" s="185">
        <f>'anexa nr.4'!L150</f>
        <v>938.39400000000001</v>
      </c>
      <c r="I150" s="185">
        <f>'anexa nr.4'!G150</f>
        <v>660</v>
      </c>
      <c r="J150" s="190">
        <f t="shared" si="5"/>
        <v>0.70332930517458547</v>
      </c>
    </row>
    <row r="151" spans="1:11" ht="15.75" customHeight="1" x14ac:dyDescent="0.2">
      <c r="A151" s="890"/>
      <c r="B151" s="858"/>
      <c r="C151" s="583"/>
      <c r="D151" s="583" t="s">
        <v>76</v>
      </c>
      <c r="E151" s="644" t="s">
        <v>294</v>
      </c>
      <c r="F151" s="643">
        <f t="shared" si="4"/>
        <v>141</v>
      </c>
      <c r="G151" s="185">
        <f>'anexa nr.4'!M151</f>
        <v>1100</v>
      </c>
      <c r="H151" s="185">
        <f>'anexa nr.4'!L151</f>
        <v>938.39400000000001</v>
      </c>
      <c r="I151" s="185">
        <f>'anexa nr.4'!G151</f>
        <v>660</v>
      </c>
      <c r="J151" s="190">
        <f t="shared" si="5"/>
        <v>0.70332930517458547</v>
      </c>
    </row>
    <row r="152" spans="1:11" x14ac:dyDescent="0.2">
      <c r="A152" s="890"/>
      <c r="B152" s="858"/>
      <c r="C152" s="583"/>
      <c r="D152" s="583" t="s">
        <v>99</v>
      </c>
      <c r="E152" s="601" t="s">
        <v>295</v>
      </c>
      <c r="F152" s="643">
        <f t="shared" si="4"/>
        <v>142</v>
      </c>
      <c r="G152" s="185">
        <f>'anexa nr.4'!M152</f>
        <v>0</v>
      </c>
      <c r="H152" s="185">
        <f>'anexa nr.4'!L152</f>
        <v>0</v>
      </c>
      <c r="I152" s="185">
        <f>'anexa nr.4'!G152</f>
        <v>0</v>
      </c>
      <c r="J152" s="190"/>
    </row>
    <row r="153" spans="1:11" x14ac:dyDescent="0.2">
      <c r="A153" s="890"/>
      <c r="B153" s="858"/>
      <c r="C153" s="583" t="s">
        <v>40</v>
      </c>
      <c r="D153" s="858" t="s">
        <v>296</v>
      </c>
      <c r="E153" s="858"/>
      <c r="F153" s="643">
        <f t="shared" si="4"/>
        <v>143</v>
      </c>
      <c r="G153" s="185">
        <f>'anexa nr.4'!M153</f>
        <v>500</v>
      </c>
      <c r="H153" s="185">
        <f>'anexa nr.4'!L153</f>
        <v>241.065</v>
      </c>
      <c r="I153" s="185">
        <f>'anexa nr.4'!G153</f>
        <v>250</v>
      </c>
      <c r="J153" s="190">
        <f t="shared" si="5"/>
        <v>1.0370646920954929</v>
      </c>
    </row>
    <row r="154" spans="1:11" ht="13.5" thickBot="1" x14ac:dyDescent="0.25">
      <c r="A154" s="903"/>
      <c r="B154" s="646" t="s">
        <v>17</v>
      </c>
      <c r="C154" s="646"/>
      <c r="D154" s="895" t="s">
        <v>129</v>
      </c>
      <c r="E154" s="895"/>
      <c r="F154" s="647">
        <f t="shared" si="4"/>
        <v>144</v>
      </c>
      <c r="G154" s="195">
        <f>'anexa nr.4'!M154</f>
        <v>0</v>
      </c>
      <c r="H154" s="195">
        <f>'anexa nr.4'!L154</f>
        <v>0</v>
      </c>
      <c r="I154" s="195">
        <f>'anexa nr.4'!G154</f>
        <v>0</v>
      </c>
      <c r="J154" s="196"/>
    </row>
    <row r="155" spans="1:11" ht="13.5" thickBot="1" x14ac:dyDescent="0.25">
      <c r="A155" s="648" t="s">
        <v>130</v>
      </c>
      <c r="B155" s="656"/>
      <c r="C155" s="657"/>
      <c r="D155" s="902" t="s">
        <v>441</v>
      </c>
      <c r="E155" s="902"/>
      <c r="F155" s="649">
        <f t="shared" si="4"/>
        <v>145</v>
      </c>
      <c r="G155" s="507">
        <f>'anexa nr.4'!M155</f>
        <v>21557.110070958661</v>
      </c>
      <c r="H155" s="507">
        <f>'anexa nr.4'!L155</f>
        <v>33560.104365480009</v>
      </c>
      <c r="I155" s="507">
        <f>'anexa nr.4'!G155</f>
        <v>11909.218905120011</v>
      </c>
      <c r="J155" s="509">
        <f t="shared" si="5"/>
        <v>0.35486239182765644</v>
      </c>
      <c r="K155" s="658"/>
    </row>
    <row r="156" spans="1:11" x14ac:dyDescent="0.2">
      <c r="A156" s="650"/>
      <c r="B156" s="597"/>
      <c r="C156" s="597"/>
      <c r="D156" s="562"/>
      <c r="E156" s="562" t="s">
        <v>421</v>
      </c>
      <c r="F156" s="659">
        <v>146</v>
      </c>
      <c r="G156" s="197">
        <f>'anexa nr.4'!M156</f>
        <v>3266.11465</v>
      </c>
      <c r="H156" s="197">
        <f>'anexa nr.4'!L156</f>
        <v>3573.7550000000001</v>
      </c>
      <c r="I156" s="197">
        <f>'anexa nr.4'!G156</f>
        <v>3090.4836</v>
      </c>
      <c r="J156" s="198">
        <f t="shared" si="5"/>
        <v>0.86477209545701927</v>
      </c>
    </row>
    <row r="157" spans="1:11" ht="18.75" customHeight="1" thickBot="1" x14ac:dyDescent="0.25">
      <c r="A157" s="645"/>
      <c r="B157" s="646"/>
      <c r="C157" s="646"/>
      <c r="D157" s="646"/>
      <c r="E157" s="660" t="s">
        <v>297</v>
      </c>
      <c r="F157" s="647">
        <v>147</v>
      </c>
      <c r="G157" s="195">
        <f>'anexa nr.4'!M157</f>
        <v>6420</v>
      </c>
      <c r="H157" s="195">
        <f>'anexa nr.4'!L157</f>
        <v>7000</v>
      </c>
      <c r="I157" s="195">
        <f>'anexa nr.4'!G157</f>
        <v>4460</v>
      </c>
      <c r="J157" s="196">
        <f t="shared" si="5"/>
        <v>0.63714285714285712</v>
      </c>
    </row>
    <row r="158" spans="1:11" ht="18.75" customHeight="1" thickBot="1" x14ac:dyDescent="0.25">
      <c r="A158" s="648" t="s">
        <v>132</v>
      </c>
      <c r="B158" s="656"/>
      <c r="C158" s="657"/>
      <c r="D158" s="901" t="s">
        <v>133</v>
      </c>
      <c r="E158" s="901"/>
      <c r="F158" s="649">
        <f t="shared" si="4"/>
        <v>148</v>
      </c>
      <c r="G158" s="507">
        <f>'anexa nr.4'!M158</f>
        <v>4476.337611353385</v>
      </c>
      <c r="H158" s="542">
        <f>'anexa nr.4'!L158</f>
        <v>6542.3747784768002</v>
      </c>
      <c r="I158" s="544">
        <f>'anexa nr.4'!G158</f>
        <v>2399.9524008191997</v>
      </c>
      <c r="J158" s="543">
        <f t="shared" si="5"/>
        <v>0.36683199634398783</v>
      </c>
    </row>
    <row r="159" spans="1:11" ht="17.25" customHeight="1" thickBot="1" x14ac:dyDescent="0.25">
      <c r="A159" s="648" t="s">
        <v>134</v>
      </c>
      <c r="B159" s="656"/>
      <c r="C159" s="657"/>
      <c r="D159" s="901" t="s">
        <v>155</v>
      </c>
      <c r="E159" s="901"/>
      <c r="F159" s="649">
        <f t="shared" si="4"/>
        <v>149</v>
      </c>
      <c r="G159" s="507"/>
      <c r="H159" s="507"/>
      <c r="I159" s="507"/>
      <c r="J159" s="508"/>
    </row>
    <row r="160" spans="1:11" ht="17.25" customHeight="1" x14ac:dyDescent="0.2">
      <c r="A160" s="199"/>
      <c r="B160" s="200">
        <v>1</v>
      </c>
      <c r="C160" s="201"/>
      <c r="D160" s="898" t="s">
        <v>442</v>
      </c>
      <c r="E160" s="898"/>
      <c r="F160" s="661">
        <v>150</v>
      </c>
      <c r="G160" s="662">
        <f t="shared" ref="G160" si="6">G96</f>
        <v>35737.223402800002</v>
      </c>
      <c r="H160" s="662">
        <f t="shared" ref="H160:I161" si="7">H96</f>
        <v>35335.885999999999</v>
      </c>
      <c r="I160" s="663">
        <f t="shared" si="7"/>
        <v>37486.212</v>
      </c>
      <c r="J160" s="198">
        <f t="shared" si="5"/>
        <v>1.0608538866126069</v>
      </c>
    </row>
    <row r="161" spans="1:10" ht="16.5" customHeight="1" x14ac:dyDescent="0.2">
      <c r="A161" s="191"/>
      <c r="B161" s="189">
        <v>2</v>
      </c>
      <c r="C161" s="80"/>
      <c r="D161" s="889" t="s">
        <v>443</v>
      </c>
      <c r="E161" s="889"/>
      <c r="F161" s="80">
        <v>151</v>
      </c>
      <c r="G161" s="664">
        <f t="shared" ref="G161" si="8">G97</f>
        <v>30821.399634000001</v>
      </c>
      <c r="H161" s="664">
        <f t="shared" si="7"/>
        <v>30813.977999999999</v>
      </c>
      <c r="I161" s="665">
        <f t="shared" si="7"/>
        <v>32620.337</v>
      </c>
      <c r="J161" s="190">
        <f t="shared" si="5"/>
        <v>1.0586214152551157</v>
      </c>
    </row>
    <row r="162" spans="1:10" s="9" customFormat="1" x14ac:dyDescent="0.2">
      <c r="A162" s="887"/>
      <c r="B162" s="80">
        <v>3</v>
      </c>
      <c r="C162" s="80"/>
      <c r="D162" s="889" t="s">
        <v>298</v>
      </c>
      <c r="E162" s="889"/>
      <c r="F162" s="655">
        <v>152</v>
      </c>
      <c r="G162" s="622">
        <v>936</v>
      </c>
      <c r="H162" s="622">
        <v>936</v>
      </c>
      <c r="I162" s="622">
        <v>956</v>
      </c>
      <c r="J162" s="190">
        <f t="shared" si="5"/>
        <v>1.0213675213675213</v>
      </c>
    </row>
    <row r="163" spans="1:10" s="9" customFormat="1" x14ac:dyDescent="0.2">
      <c r="A163" s="887"/>
      <c r="B163" s="80">
        <v>4</v>
      </c>
      <c r="C163" s="80"/>
      <c r="D163" s="889" t="s">
        <v>444</v>
      </c>
      <c r="E163" s="889"/>
      <c r="F163" s="655">
        <v>153</v>
      </c>
      <c r="G163" s="622">
        <v>934</v>
      </c>
      <c r="H163" s="622">
        <v>934</v>
      </c>
      <c r="I163" s="622">
        <v>944</v>
      </c>
      <c r="J163" s="190">
        <f t="shared" si="5"/>
        <v>1.0107066381156318</v>
      </c>
    </row>
    <row r="164" spans="1:10" s="9" customFormat="1" ht="40.5" customHeight="1" x14ac:dyDescent="0.2">
      <c r="A164" s="887"/>
      <c r="B164" s="80">
        <v>5</v>
      </c>
      <c r="C164" s="80" t="s">
        <v>27</v>
      </c>
      <c r="D164" s="889" t="s">
        <v>445</v>
      </c>
      <c r="E164" s="889"/>
      <c r="F164" s="655">
        <v>154</v>
      </c>
      <c r="G164" s="666">
        <f>G161/G163/12*1000</f>
        <v>2749.9464341541757</v>
      </c>
      <c r="H164" s="667">
        <f>H161/H163/12*1000</f>
        <v>2749.2842612419695</v>
      </c>
      <c r="I164" s="666">
        <f>I161/I163/12*1000</f>
        <v>2879.6201447740109</v>
      </c>
      <c r="J164" s="190">
        <f t="shared" si="5"/>
        <v>1.0474072053477523</v>
      </c>
    </row>
    <row r="165" spans="1:10" s="9" customFormat="1" ht="38.25" customHeight="1" x14ac:dyDescent="0.2">
      <c r="A165" s="887"/>
      <c r="B165" s="80"/>
      <c r="C165" s="80" t="s">
        <v>446</v>
      </c>
      <c r="D165" s="889" t="s">
        <v>447</v>
      </c>
      <c r="E165" s="889"/>
      <c r="F165" s="655">
        <v>155</v>
      </c>
      <c r="G165" s="666">
        <f>G160/G163/12*1000</f>
        <v>3188.5459852605281</v>
      </c>
      <c r="H165" s="667">
        <f>H160/H163/12*1000</f>
        <v>3152.7378658101352</v>
      </c>
      <c r="I165" s="666">
        <f>I160/I163/12*1000</f>
        <v>3309.164194915254</v>
      </c>
      <c r="J165" s="190">
        <f t="shared" si="5"/>
        <v>1.049616027644253</v>
      </c>
    </row>
    <row r="166" spans="1:10" s="9" customFormat="1" ht="33" customHeight="1" x14ac:dyDescent="0.2">
      <c r="A166" s="887"/>
      <c r="B166" s="80">
        <v>6</v>
      </c>
      <c r="C166" s="80" t="s">
        <v>27</v>
      </c>
      <c r="D166" s="889" t="s">
        <v>448</v>
      </c>
      <c r="E166" s="889"/>
      <c r="F166" s="655">
        <v>156</v>
      </c>
      <c r="G166" s="666">
        <f>G11/G163</f>
        <v>149.58991917915776</v>
      </c>
      <c r="H166" s="667">
        <f>H11/H163</f>
        <v>150.55410492505354</v>
      </c>
      <c r="I166" s="666">
        <f>I11/I163</f>
        <v>146.0693814512712</v>
      </c>
      <c r="J166" s="190">
        <f t="shared" si="5"/>
        <v>0.97021188179482154</v>
      </c>
    </row>
    <row r="167" spans="1:10" s="9" customFormat="1" ht="33" customHeight="1" x14ac:dyDescent="0.2">
      <c r="A167" s="887"/>
      <c r="B167" s="80"/>
      <c r="C167" s="80" t="s">
        <v>38</v>
      </c>
      <c r="D167" s="889" t="s">
        <v>449</v>
      </c>
      <c r="E167" s="889"/>
      <c r="F167" s="655">
        <v>157</v>
      </c>
      <c r="G167" s="185">
        <f>'anexa nr.4'!M167</f>
        <v>0</v>
      </c>
      <c r="H167" s="668"/>
      <c r="I167" s="622"/>
      <c r="J167" s="190"/>
    </row>
    <row r="168" spans="1:10" s="9" customFormat="1" ht="34.5" customHeight="1" x14ac:dyDescent="0.2">
      <c r="A168" s="887"/>
      <c r="B168" s="80"/>
      <c r="C168" s="80" t="s">
        <v>278</v>
      </c>
      <c r="D168" s="889" t="s">
        <v>450</v>
      </c>
      <c r="E168" s="889"/>
      <c r="F168" s="655">
        <v>158</v>
      </c>
      <c r="G168" s="185">
        <f>'anexa nr.4'!M168</f>
        <v>0</v>
      </c>
      <c r="H168" s="668"/>
      <c r="I168" s="622"/>
      <c r="J168" s="190"/>
    </row>
    <row r="169" spans="1:10" ht="28.5" customHeight="1" x14ac:dyDescent="0.2">
      <c r="A169" s="887"/>
      <c r="B169" s="80"/>
      <c r="C169" s="80"/>
      <c r="D169" s="561"/>
      <c r="E169" s="561" t="s">
        <v>451</v>
      </c>
      <c r="F169" s="655">
        <v>159</v>
      </c>
      <c r="G169" s="185">
        <f>'anexa nr.4'!M169</f>
        <v>0</v>
      </c>
      <c r="H169" s="668"/>
      <c r="I169" s="622"/>
      <c r="J169" s="190"/>
    </row>
    <row r="170" spans="1:10" ht="26.25" customHeight="1" x14ac:dyDescent="0.2">
      <c r="A170" s="887"/>
      <c r="B170" s="80"/>
      <c r="C170" s="80"/>
      <c r="D170" s="561"/>
      <c r="E170" s="561" t="s">
        <v>452</v>
      </c>
      <c r="F170" s="655">
        <v>160</v>
      </c>
      <c r="G170" s="185">
        <f>'anexa nr.4'!M170</f>
        <v>0</v>
      </c>
      <c r="H170" s="668"/>
      <c r="I170" s="622"/>
      <c r="J170" s="190"/>
    </row>
    <row r="171" spans="1:10" x14ac:dyDescent="0.2">
      <c r="A171" s="887"/>
      <c r="B171" s="80"/>
      <c r="C171" s="80"/>
      <c r="D171" s="561"/>
      <c r="E171" s="561" t="s">
        <v>453</v>
      </c>
      <c r="F171" s="655">
        <v>161</v>
      </c>
      <c r="G171" s="185">
        <f>'anexa nr.4'!M171</f>
        <v>0</v>
      </c>
      <c r="H171" s="668"/>
      <c r="I171" s="622"/>
      <c r="J171" s="190"/>
    </row>
    <row r="172" spans="1:10" x14ac:dyDescent="0.2">
      <c r="A172" s="887"/>
      <c r="B172" s="80"/>
      <c r="C172" s="80"/>
      <c r="D172" s="561"/>
      <c r="E172" s="561" t="s">
        <v>454</v>
      </c>
      <c r="F172" s="655">
        <v>162</v>
      </c>
      <c r="G172" s="185">
        <f>'anexa nr.4'!M172</f>
        <v>0</v>
      </c>
      <c r="H172" s="668"/>
      <c r="I172" s="622"/>
      <c r="J172" s="190"/>
    </row>
    <row r="173" spans="1:10" x14ac:dyDescent="0.2">
      <c r="A173" s="563"/>
      <c r="B173" s="80">
        <v>7</v>
      </c>
      <c r="C173" s="80"/>
      <c r="D173" s="884" t="s">
        <v>422</v>
      </c>
      <c r="E173" s="884"/>
      <c r="F173" s="655">
        <v>163</v>
      </c>
      <c r="G173" s="185">
        <f>'anexa nr.4'!M173</f>
        <v>0</v>
      </c>
      <c r="H173" s="668">
        <v>0</v>
      </c>
      <c r="I173" s="622">
        <v>0</v>
      </c>
      <c r="J173" s="669">
        <v>0</v>
      </c>
    </row>
    <row r="174" spans="1:10" x14ac:dyDescent="0.2">
      <c r="A174" s="192"/>
      <c r="B174" s="80">
        <v>8</v>
      </c>
      <c r="C174" s="80"/>
      <c r="D174" s="884" t="s">
        <v>455</v>
      </c>
      <c r="E174" s="884"/>
      <c r="F174" s="655">
        <v>164</v>
      </c>
      <c r="G174" s="626">
        <f>SUM(G175:G179)</f>
        <v>18620</v>
      </c>
      <c r="H174" s="626">
        <v>20065</v>
      </c>
      <c r="I174" s="626">
        <v>19415</v>
      </c>
      <c r="J174" s="670">
        <f>I174/G174</f>
        <v>1.0426960257787325</v>
      </c>
    </row>
    <row r="175" spans="1:10" x14ac:dyDescent="0.2">
      <c r="A175" s="192"/>
      <c r="B175" s="80"/>
      <c r="C175" s="80"/>
      <c r="D175" s="584"/>
      <c r="E175" s="561" t="s">
        <v>456</v>
      </c>
      <c r="F175" s="655">
        <v>165</v>
      </c>
      <c r="G175" s="626">
        <v>3000</v>
      </c>
      <c r="H175" s="35">
        <v>3000</v>
      </c>
      <c r="I175" s="671">
        <v>4000</v>
      </c>
      <c r="J175" s="670">
        <f>I175/G175</f>
        <v>1.3333333333333333</v>
      </c>
    </row>
    <row r="176" spans="1:10" x14ac:dyDescent="0.2">
      <c r="A176" s="192"/>
      <c r="B176" s="80"/>
      <c r="C176" s="80"/>
      <c r="D176" s="584"/>
      <c r="E176" s="561" t="s">
        <v>457</v>
      </c>
      <c r="F176" s="655">
        <v>166</v>
      </c>
      <c r="G176" s="626">
        <v>2620</v>
      </c>
      <c r="H176" s="35">
        <v>2500</v>
      </c>
      <c r="I176" s="671">
        <v>2400</v>
      </c>
      <c r="J176" s="670">
        <f>I176/G176</f>
        <v>0.91603053435114501</v>
      </c>
    </row>
    <row r="177" spans="1:10" x14ac:dyDescent="0.2">
      <c r="A177" s="192"/>
      <c r="B177" s="80"/>
      <c r="C177" s="80"/>
      <c r="D177" s="584"/>
      <c r="E177" s="584" t="s">
        <v>458</v>
      </c>
      <c r="F177" s="655">
        <v>167</v>
      </c>
      <c r="G177" s="626"/>
      <c r="H177" s="35"/>
      <c r="I177" s="671"/>
      <c r="J177" s="670"/>
    </row>
    <row r="178" spans="1:10" x14ac:dyDescent="0.2">
      <c r="A178" s="192"/>
      <c r="B178" s="80"/>
      <c r="C178" s="80"/>
      <c r="D178" s="584"/>
      <c r="E178" s="584" t="s">
        <v>548</v>
      </c>
      <c r="F178" s="655">
        <v>168</v>
      </c>
      <c r="G178" s="626">
        <v>1000</v>
      </c>
      <c r="H178" s="35">
        <v>2550</v>
      </c>
      <c r="I178" s="671">
        <v>1000</v>
      </c>
      <c r="J178" s="670">
        <f>I178/G178</f>
        <v>1</v>
      </c>
    </row>
    <row r="179" spans="1:10" ht="13.5" thickBot="1" x14ac:dyDescent="0.25">
      <c r="A179" s="193"/>
      <c r="B179" s="194"/>
      <c r="C179" s="194"/>
      <c r="D179" s="672"/>
      <c r="E179" s="672" t="s">
        <v>549</v>
      </c>
      <c r="F179" s="673">
        <v>169</v>
      </c>
      <c r="G179" s="674">
        <v>12000</v>
      </c>
      <c r="H179" s="675">
        <v>12015</v>
      </c>
      <c r="I179" s="676">
        <v>12015</v>
      </c>
      <c r="J179" s="677">
        <f>I179/G179</f>
        <v>1.00125</v>
      </c>
    </row>
    <row r="180" spans="1:10" x14ac:dyDescent="0.2">
      <c r="H180" s="565"/>
    </row>
    <row r="184" spans="1:10" x14ac:dyDescent="0.2">
      <c r="B184" s="564" t="s">
        <v>373</v>
      </c>
      <c r="F184" s="565"/>
      <c r="G184" s="564" t="s">
        <v>374</v>
      </c>
    </row>
    <row r="185" spans="1:10" x14ac:dyDescent="0.2">
      <c r="B185" s="564" t="s">
        <v>375</v>
      </c>
      <c r="F185" s="565"/>
      <c r="G185" s="564" t="s">
        <v>376</v>
      </c>
    </row>
    <row r="186" spans="1:10" x14ac:dyDescent="0.2">
      <c r="F186" s="565"/>
    </row>
  </sheetData>
  <mergeCells count="130">
    <mergeCell ref="D158:E158"/>
    <mergeCell ref="A127:A154"/>
    <mergeCell ref="B127:B137"/>
    <mergeCell ref="D133:E133"/>
    <mergeCell ref="D134:E134"/>
    <mergeCell ref="D135:E135"/>
    <mergeCell ref="A3:D3"/>
    <mergeCell ref="G7:H7"/>
    <mergeCell ref="D168:E168"/>
    <mergeCell ref="D167:E167"/>
    <mergeCell ref="D131:E131"/>
    <mergeCell ref="D132:E132"/>
    <mergeCell ref="D57:E57"/>
    <mergeCell ref="D59:E59"/>
    <mergeCell ref="D66:E66"/>
    <mergeCell ref="D136:E136"/>
    <mergeCell ref="D137:E137"/>
    <mergeCell ref="D146:E146"/>
    <mergeCell ref="B147:B153"/>
    <mergeCell ref="D21:E21"/>
    <mergeCell ref="A7:B7"/>
    <mergeCell ref="D7:E8"/>
    <mergeCell ref="A8:B8"/>
    <mergeCell ref="B9:C9"/>
    <mergeCell ref="A2:D2"/>
    <mergeCell ref="A4:D4"/>
    <mergeCell ref="A6:D6"/>
    <mergeCell ref="E2:J2"/>
    <mergeCell ref="E4:J4"/>
    <mergeCell ref="D163:E163"/>
    <mergeCell ref="D164:E164"/>
    <mergeCell ref="D165:E165"/>
    <mergeCell ref="D166:E166"/>
    <mergeCell ref="D159:E159"/>
    <mergeCell ref="D160:E160"/>
    <mergeCell ref="D161:E161"/>
    <mergeCell ref="D162:E162"/>
    <mergeCell ref="D147:E147"/>
    <mergeCell ref="D153:E153"/>
    <mergeCell ref="D154:E154"/>
    <mergeCell ref="D155:E155"/>
    <mergeCell ref="D34:E34"/>
    <mergeCell ref="D35:E35"/>
    <mergeCell ref="D36:E36"/>
    <mergeCell ref="C127:C128"/>
    <mergeCell ref="D127:E127"/>
    <mergeCell ref="D128:E128"/>
    <mergeCell ref="D130:E130"/>
    <mergeCell ref="D9:E9"/>
    <mergeCell ref="D10:E10"/>
    <mergeCell ref="D11:E11"/>
    <mergeCell ref="D12:E12"/>
    <mergeCell ref="D17:E17"/>
    <mergeCell ref="D18:E18"/>
    <mergeCell ref="C40:E40"/>
    <mergeCell ref="D22:E22"/>
    <mergeCell ref="D23:E23"/>
    <mergeCell ref="D31:E31"/>
    <mergeCell ref="D32:E32"/>
    <mergeCell ref="D33:E33"/>
    <mergeCell ref="D37:E37"/>
    <mergeCell ref="B38:E38"/>
    <mergeCell ref="C39:E39"/>
    <mergeCell ref="D56:E56"/>
    <mergeCell ref="D41:E41"/>
    <mergeCell ref="D42:E42"/>
    <mergeCell ref="D43:E43"/>
    <mergeCell ref="D46:E46"/>
    <mergeCell ref="D47:E47"/>
    <mergeCell ref="D48:E48"/>
    <mergeCell ref="D49:E49"/>
    <mergeCell ref="D50:E50"/>
    <mergeCell ref="D51:E51"/>
    <mergeCell ref="D54:E54"/>
    <mergeCell ref="D55:E55"/>
    <mergeCell ref="A67:A98"/>
    <mergeCell ref="B67:B98"/>
    <mergeCell ref="D72:E72"/>
    <mergeCell ref="D73:E73"/>
    <mergeCell ref="D74:E74"/>
    <mergeCell ref="D75:E75"/>
    <mergeCell ref="D76:E76"/>
    <mergeCell ref="D97:E97"/>
    <mergeCell ref="D77:E77"/>
    <mergeCell ref="D78:E78"/>
    <mergeCell ref="D87:E87"/>
    <mergeCell ref="C88:E88"/>
    <mergeCell ref="D89:E89"/>
    <mergeCell ref="D90:E90"/>
    <mergeCell ref="D91:E91"/>
    <mergeCell ref="D92:E92"/>
    <mergeCell ref="D93:E93"/>
    <mergeCell ref="D94:E94"/>
    <mergeCell ref="C95:E95"/>
    <mergeCell ref="D98:E98"/>
    <mergeCell ref="D71:E71"/>
    <mergeCell ref="D96:E96"/>
    <mergeCell ref="D111:E111"/>
    <mergeCell ref="D112:E112"/>
    <mergeCell ref="D113:E113"/>
    <mergeCell ref="D114:E114"/>
    <mergeCell ref="D117:E117"/>
    <mergeCell ref="D120:E120"/>
    <mergeCell ref="D122:E122"/>
    <mergeCell ref="C123:C126"/>
    <mergeCell ref="D123:E123"/>
    <mergeCell ref="E5:I5"/>
    <mergeCell ref="A162:A172"/>
    <mergeCell ref="D173:E173"/>
    <mergeCell ref="D174:E174"/>
    <mergeCell ref="D124:E124"/>
    <mergeCell ref="D125:E125"/>
    <mergeCell ref="D126:E126"/>
    <mergeCell ref="C114:C121"/>
    <mergeCell ref="C129:E129"/>
    <mergeCell ref="D150:E150"/>
    <mergeCell ref="A99:A126"/>
    <mergeCell ref="B99:B126"/>
    <mergeCell ref="C99:C100"/>
    <mergeCell ref="D99:E99"/>
    <mergeCell ref="D100:E100"/>
    <mergeCell ref="D101:E101"/>
    <mergeCell ref="D102:E102"/>
    <mergeCell ref="D105:E105"/>
    <mergeCell ref="D106:E106"/>
    <mergeCell ref="D121:E121"/>
    <mergeCell ref="D107:E107"/>
    <mergeCell ref="D108:E108"/>
    <mergeCell ref="D109:E109"/>
    <mergeCell ref="D110:E110"/>
  </mergeCells>
  <pageMargins left="0.7" right="0.7" top="0.75" bottom="0.75" header="0.3" footer="0.3"/>
  <pageSetup orientation="landscape" r:id="rId1"/>
  <ignoredErrors>
    <ignoredError sqref="J59 J10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workbookViewId="0">
      <selection activeCell="D28" sqref="D28"/>
    </sheetView>
  </sheetViews>
  <sheetFormatPr defaultRowHeight="12.75" x14ac:dyDescent="0.2"/>
  <cols>
    <col min="1" max="1" width="9.140625" style="1"/>
    <col min="2" max="2" width="35.140625" style="1" customWidth="1"/>
    <col min="3" max="3" width="15.5703125" style="1" customWidth="1"/>
    <col min="4" max="4" width="14.140625" style="1" customWidth="1"/>
    <col min="5" max="5" width="10.5703125" style="1" customWidth="1"/>
    <col min="6" max="6" width="9.140625" style="1" customWidth="1"/>
    <col min="7" max="7" width="12.42578125" style="1" customWidth="1"/>
    <col min="8" max="8" width="10.140625" style="1" customWidth="1"/>
    <col min="9" max="16384" width="9.140625" style="1"/>
  </cols>
  <sheetData>
    <row r="2" spans="1:8" x14ac:dyDescent="0.2">
      <c r="A2" s="916" t="s">
        <v>0</v>
      </c>
      <c r="B2" s="916"/>
      <c r="C2" s="916"/>
      <c r="D2" s="916"/>
    </row>
    <row r="3" spans="1:8" x14ac:dyDescent="0.2">
      <c r="A3" s="916" t="s">
        <v>1</v>
      </c>
      <c r="B3" s="916"/>
      <c r="C3" s="916"/>
      <c r="D3" s="916"/>
      <c r="G3" s="2" t="s">
        <v>525</v>
      </c>
    </row>
    <row r="4" spans="1:8" x14ac:dyDescent="0.2">
      <c r="A4" s="916" t="s">
        <v>2</v>
      </c>
      <c r="B4" s="916"/>
      <c r="C4" s="916"/>
      <c r="D4" s="916"/>
    </row>
    <row r="5" spans="1:8" ht="15.75" x14ac:dyDescent="0.25">
      <c r="A5" s="39"/>
      <c r="B5" s="39"/>
      <c r="C5" s="131" t="s">
        <v>521</v>
      </c>
      <c r="D5" s="240"/>
      <c r="E5" s="240"/>
      <c r="F5" s="6"/>
      <c r="G5" s="6"/>
      <c r="H5" s="6"/>
    </row>
    <row r="6" spans="1:8" ht="15.75" x14ac:dyDescent="0.25">
      <c r="A6" s="39"/>
      <c r="B6" s="39"/>
      <c r="C6" s="241" t="s">
        <v>667</v>
      </c>
      <c r="D6" s="241"/>
      <c r="E6" s="240"/>
      <c r="F6" s="6"/>
      <c r="G6" s="6"/>
    </row>
    <row r="7" spans="1:8" x14ac:dyDescent="0.2">
      <c r="A7" s="39"/>
      <c r="B7" s="39"/>
      <c r="C7" s="39"/>
      <c r="D7" s="40"/>
      <c r="E7" s="40"/>
      <c r="F7" s="40"/>
      <c r="G7" s="40"/>
    </row>
    <row r="8" spans="1:8" ht="13.5" thickBot="1" x14ac:dyDescent="0.25"/>
    <row r="9" spans="1:8" x14ac:dyDescent="0.2">
      <c r="A9" s="171" t="s">
        <v>299</v>
      </c>
      <c r="B9" s="915" t="s">
        <v>15</v>
      </c>
      <c r="C9" s="914" t="s">
        <v>678</v>
      </c>
      <c r="D9" s="915"/>
      <c r="E9" s="171" t="s">
        <v>111</v>
      </c>
      <c r="F9" s="914" t="s">
        <v>677</v>
      </c>
      <c r="G9" s="915"/>
      <c r="H9" s="56" t="s">
        <v>111</v>
      </c>
    </row>
    <row r="10" spans="1:8" ht="13.5" thickBot="1" x14ac:dyDescent="0.25">
      <c r="A10" s="173" t="s">
        <v>300</v>
      </c>
      <c r="B10" s="917"/>
      <c r="C10" s="170" t="s">
        <v>16</v>
      </c>
      <c r="D10" s="47" t="s">
        <v>301</v>
      </c>
      <c r="E10" s="47" t="s">
        <v>542</v>
      </c>
      <c r="F10" s="47" t="s">
        <v>16</v>
      </c>
      <c r="G10" s="47" t="s">
        <v>301</v>
      </c>
      <c r="H10" s="177" t="s">
        <v>543</v>
      </c>
    </row>
    <row r="11" spans="1:8" ht="13.5" thickBot="1" x14ac:dyDescent="0.25">
      <c r="A11" s="172" t="s">
        <v>30</v>
      </c>
      <c r="B11" s="171" t="s">
        <v>4</v>
      </c>
      <c r="C11" s="172" t="s">
        <v>21</v>
      </c>
      <c r="D11" s="172" t="s">
        <v>17</v>
      </c>
      <c r="E11" s="172">
        <v>4</v>
      </c>
      <c r="F11" s="172">
        <v>5</v>
      </c>
      <c r="G11" s="172">
        <v>6</v>
      </c>
      <c r="H11" s="176">
        <v>7</v>
      </c>
    </row>
    <row r="12" spans="1:8" s="184" customFormat="1" ht="15" x14ac:dyDescent="0.25">
      <c r="A12" s="202" t="s">
        <v>4</v>
      </c>
      <c r="B12" s="203" t="s">
        <v>538</v>
      </c>
      <c r="C12" s="204">
        <f>C13+C14+C15+C16</f>
        <v>126989</v>
      </c>
      <c r="D12" s="204">
        <f>D13+D14+D15+D16</f>
        <v>122935.34787272724</v>
      </c>
      <c r="E12" s="205">
        <f>D12/C12</f>
        <v>0.96807871447705895</v>
      </c>
      <c r="F12" s="204">
        <f>F13+F14+F15+F16</f>
        <v>139716.98451333336</v>
      </c>
      <c r="G12" s="204">
        <f>G13+G14+G15+G16</f>
        <v>140617.53400000001</v>
      </c>
      <c r="H12" s="206">
        <f>G12/F12</f>
        <v>1.0064455262171845</v>
      </c>
    </row>
    <row r="13" spans="1:8" x14ac:dyDescent="0.2">
      <c r="A13" s="169" t="s">
        <v>21</v>
      </c>
      <c r="B13" s="48" t="s">
        <v>302</v>
      </c>
      <c r="C13" s="50">
        <v>120644</v>
      </c>
      <c r="D13" s="57">
        <v>118248.53613818179</v>
      </c>
      <c r="E13" s="178">
        <f>D13/C13</f>
        <v>0.98014435975416758</v>
      </c>
      <c r="F13" s="50">
        <f>'anexa 2'!G12</f>
        <v>135314.41500000001</v>
      </c>
      <c r="G13" s="57">
        <f>'anexa 2'!H12</f>
        <v>135360.508</v>
      </c>
      <c r="H13" s="179">
        <f>G13/F13</f>
        <v>1.0003406362877154</v>
      </c>
    </row>
    <row r="14" spans="1:8" x14ac:dyDescent="0.2">
      <c r="A14" s="169" t="s">
        <v>17</v>
      </c>
      <c r="B14" s="48" t="s">
        <v>303</v>
      </c>
      <c r="C14" s="50">
        <v>0</v>
      </c>
      <c r="D14" s="57">
        <v>0</v>
      </c>
      <c r="E14" s="178"/>
      <c r="F14" s="50">
        <f>'anexa 2'!G13</f>
        <v>0</v>
      </c>
      <c r="G14" s="50">
        <f>'anexa 2'!H13</f>
        <v>0</v>
      </c>
      <c r="H14" s="179"/>
    </row>
    <row r="15" spans="1:8" x14ac:dyDescent="0.2">
      <c r="A15" s="169" t="s">
        <v>18</v>
      </c>
      <c r="B15" s="48" t="s">
        <v>304</v>
      </c>
      <c r="C15" s="50">
        <v>2440</v>
      </c>
      <c r="D15" s="57">
        <v>2466.3176072727274</v>
      </c>
      <c r="E15" s="178">
        <f>D15/C15</f>
        <v>1.0107859046199703</v>
      </c>
      <c r="F15" s="50">
        <f>'anexa 2'!G21</f>
        <v>1765.8333333333335</v>
      </c>
      <c r="G15" s="50">
        <f>'anexa 2'!H21</f>
        <v>2116.3739999999998</v>
      </c>
      <c r="H15" s="179">
        <f>G15/F15</f>
        <v>1.1985128834355827</v>
      </c>
    </row>
    <row r="16" spans="1:8" ht="13.5" thickBot="1" x14ac:dyDescent="0.25">
      <c r="A16" s="170" t="s">
        <v>24</v>
      </c>
      <c r="B16" s="59" t="s">
        <v>305</v>
      </c>
      <c r="C16" s="60">
        <v>3905</v>
      </c>
      <c r="D16" s="61">
        <v>2220.4941272727274</v>
      </c>
      <c r="E16" s="180">
        <f>D16/C16</f>
        <v>0.56862845768827841</v>
      </c>
      <c r="F16" s="60">
        <f>'anexa 2'!G23</f>
        <v>2636.7361799999999</v>
      </c>
      <c r="G16" s="60">
        <f>'anexa 2'!H23</f>
        <v>3140.652</v>
      </c>
      <c r="H16" s="181">
        <f>G16/F16</f>
        <v>1.1911134772687042</v>
      </c>
    </row>
    <row r="18" spans="1:9" x14ac:dyDescent="0.2">
      <c r="A18" s="5" t="s">
        <v>306</v>
      </c>
    </row>
    <row r="19" spans="1:9" x14ac:dyDescent="0.2">
      <c r="A19" s="5" t="s">
        <v>307</v>
      </c>
    </row>
    <row r="20" spans="1:9" x14ac:dyDescent="0.2">
      <c r="C20" s="175"/>
      <c r="D20" s="175"/>
      <c r="E20" s="175"/>
      <c r="F20" s="175"/>
      <c r="G20" s="175"/>
    </row>
    <row r="21" spans="1:9" x14ac:dyDescent="0.2">
      <c r="A21" s="5"/>
    </row>
    <row r="24" spans="1:9" x14ac:dyDescent="0.2">
      <c r="B24" s="1" t="s">
        <v>373</v>
      </c>
      <c r="F24" s="1" t="s">
        <v>374</v>
      </c>
      <c r="I24" s="40"/>
    </row>
    <row r="25" spans="1:9" x14ac:dyDescent="0.2">
      <c r="B25" s="1" t="s">
        <v>375</v>
      </c>
      <c r="F25" s="1" t="s">
        <v>376</v>
      </c>
      <c r="I25" s="40"/>
    </row>
    <row r="26" spans="1:9" x14ac:dyDescent="0.2">
      <c r="I26" s="40"/>
    </row>
    <row r="27" spans="1:9" x14ac:dyDescent="0.2">
      <c r="G27" s="28"/>
      <c r="I27" s="40"/>
    </row>
  </sheetData>
  <mergeCells count="6">
    <mergeCell ref="F9:G9"/>
    <mergeCell ref="A2:D2"/>
    <mergeCell ref="A3:D3"/>
    <mergeCell ref="A4:D4"/>
    <mergeCell ref="B9:B10"/>
    <mergeCell ref="C9:D9"/>
  </mergeCells>
  <pageMargins left="0.7" right="0.7" top="0.75" bottom="0.75" header="0.3" footer="0.3"/>
  <pageSetup paperSize="9" orientation="landscape" verticalDpi="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abSelected="1" topLeftCell="D1" workbookViewId="0">
      <selection activeCell="S18" sqref="S18"/>
    </sheetView>
  </sheetViews>
  <sheetFormatPr defaultRowHeight="12.75" x14ac:dyDescent="0.2"/>
  <cols>
    <col min="1" max="1" width="5.5703125" style="55" customWidth="1"/>
    <col min="2" max="2" width="3.7109375" style="55" customWidth="1"/>
    <col min="3" max="3" width="4.5703125" style="55" customWidth="1"/>
    <col min="4" max="4" width="5.28515625" style="55" customWidth="1"/>
    <col min="5" max="5" width="51.28515625" style="153" customWidth="1"/>
    <col min="6" max="6" width="5" style="55" customWidth="1"/>
    <col min="7" max="7" width="8.42578125" style="55" customWidth="1"/>
    <col min="8" max="8" width="7.42578125" style="55" customWidth="1"/>
    <col min="9" max="9" width="7.7109375" style="55" customWidth="1"/>
    <col min="10" max="10" width="7" style="55" customWidth="1"/>
    <col min="11" max="11" width="7.5703125" style="55" customWidth="1"/>
    <col min="12" max="12" width="8.140625" style="55" customWidth="1"/>
    <col min="13" max="13" width="8.28515625" style="55" customWidth="1"/>
    <col min="14" max="14" width="8.42578125" style="55" customWidth="1"/>
    <col min="15" max="15" width="6.5703125" style="55" customWidth="1"/>
    <col min="16" max="17" width="9.140625" style="55" customWidth="1"/>
    <col min="18" max="16384" width="9.140625" style="55"/>
  </cols>
  <sheetData>
    <row r="1" spans="1:15" x14ac:dyDescent="0.2">
      <c r="A1" s="820" t="s">
        <v>0</v>
      </c>
      <c r="B1" s="820"/>
      <c r="C1" s="820"/>
      <c r="D1" s="820"/>
    </row>
    <row r="2" spans="1:15" x14ac:dyDescent="0.2">
      <c r="A2" s="820" t="s">
        <v>1</v>
      </c>
      <c r="B2" s="820"/>
      <c r="C2" s="820"/>
      <c r="D2" s="820"/>
      <c r="I2" s="154" t="s">
        <v>526</v>
      </c>
    </row>
    <row r="3" spans="1:15" x14ac:dyDescent="0.2">
      <c r="A3" s="820" t="s">
        <v>2</v>
      </c>
      <c r="B3" s="820"/>
      <c r="C3" s="820"/>
      <c r="D3" s="820"/>
      <c r="J3" s="157" t="s">
        <v>695</v>
      </c>
    </row>
    <row r="4" spans="1:15" ht="15.75" x14ac:dyDescent="0.25">
      <c r="A4" s="153"/>
      <c r="B4" s="153"/>
      <c r="C4" s="153"/>
      <c r="E4" s="237" t="s">
        <v>522</v>
      </c>
      <c r="F4" s="238"/>
      <c r="G4" s="238"/>
      <c r="H4" s="155"/>
      <c r="I4" s="155"/>
      <c r="J4" s="155"/>
    </row>
    <row r="5" spans="1:15" ht="15.75" x14ac:dyDescent="0.25">
      <c r="A5" s="153"/>
      <c r="B5" s="153"/>
      <c r="C5" s="153"/>
      <c r="D5" s="155"/>
      <c r="E5" s="239" t="s">
        <v>668</v>
      </c>
      <c r="F5" s="238"/>
      <c r="G5" s="238"/>
      <c r="H5" s="155"/>
      <c r="I5" s="155"/>
    </row>
    <row r="6" spans="1:15" x14ac:dyDescent="0.2">
      <c r="A6" s="153"/>
      <c r="B6" s="153"/>
      <c r="C6" s="153"/>
      <c r="D6" s="155"/>
      <c r="F6" s="155"/>
      <c r="G6" s="155"/>
      <c r="H6" s="155"/>
      <c r="I6" s="155"/>
    </row>
    <row r="7" spans="1:15" ht="13.5" thickBot="1" x14ac:dyDescent="0.25">
      <c r="A7" s="153"/>
      <c r="B7" s="153"/>
      <c r="C7" s="153"/>
      <c r="D7" s="155"/>
      <c r="F7" s="155"/>
      <c r="G7" s="155"/>
      <c r="H7" s="155"/>
      <c r="I7" s="155"/>
      <c r="J7" s="55" t="s">
        <v>391</v>
      </c>
    </row>
    <row r="8" spans="1:15" ht="53.25" customHeight="1" thickBot="1" x14ac:dyDescent="0.25">
      <c r="A8" s="821" t="s">
        <v>308</v>
      </c>
      <c r="B8" s="822"/>
      <c r="C8" s="768"/>
      <c r="D8" s="243"/>
      <c r="E8" s="243" t="s">
        <v>15</v>
      </c>
      <c r="F8" s="243" t="s">
        <v>309</v>
      </c>
      <c r="G8" s="86" t="s">
        <v>693</v>
      </c>
      <c r="H8" s="156" t="s">
        <v>310</v>
      </c>
      <c r="I8" s="156" t="s">
        <v>311</v>
      </c>
      <c r="J8" s="156" t="s">
        <v>312</v>
      </c>
      <c r="K8" s="156" t="s">
        <v>313</v>
      </c>
      <c r="L8" s="549" t="s">
        <v>658</v>
      </c>
      <c r="M8" s="503" t="s">
        <v>660</v>
      </c>
      <c r="N8" s="782" t="s">
        <v>692</v>
      </c>
      <c r="O8" s="744" t="s">
        <v>689</v>
      </c>
    </row>
    <row r="9" spans="1:15" ht="13.5" thickBot="1" x14ac:dyDescent="0.25">
      <c r="A9" s="248" t="s">
        <v>30</v>
      </c>
      <c r="B9" s="248"/>
      <c r="C9" s="248"/>
      <c r="D9" s="248"/>
      <c r="E9" s="249" t="s">
        <v>4</v>
      </c>
      <c r="F9" s="156" t="s">
        <v>314</v>
      </c>
      <c r="G9" s="156" t="s">
        <v>21</v>
      </c>
      <c r="H9" s="156" t="s">
        <v>17</v>
      </c>
      <c r="I9" s="156" t="s">
        <v>18</v>
      </c>
      <c r="J9" s="156" t="s">
        <v>24</v>
      </c>
      <c r="K9" s="156" t="s">
        <v>19</v>
      </c>
      <c r="L9" s="550">
        <v>7</v>
      </c>
      <c r="M9" s="502">
        <v>8</v>
      </c>
      <c r="N9" s="502">
        <v>9</v>
      </c>
      <c r="O9" s="502">
        <v>10</v>
      </c>
    </row>
    <row r="10" spans="1:15" s="157" customFormat="1" ht="17.25" customHeight="1" thickBot="1" x14ac:dyDescent="0.25">
      <c r="A10" s="214" t="s">
        <v>215</v>
      </c>
      <c r="B10" s="823" t="s">
        <v>462</v>
      </c>
      <c r="C10" s="824"/>
      <c r="D10" s="824"/>
      <c r="E10" s="825"/>
      <c r="F10" s="214" t="s">
        <v>4</v>
      </c>
      <c r="G10" s="217">
        <f>'anexa 4 lei'!G10/'anexa 4 lei'!$K$4</f>
        <v>138839.55376400001</v>
      </c>
      <c r="H10" s="217">
        <f>'anexa 4 lei'!H10/'anexa 4 lei'!$K$4</f>
        <v>32662.687360999997</v>
      </c>
      <c r="I10" s="217">
        <f>'anexa 4 lei'!I10/'anexa 4 lei'!$K$4</f>
        <v>35347.244900999998</v>
      </c>
      <c r="J10" s="217">
        <f>'anexa 4 lei'!J10/'anexa 4 lei'!$K$4</f>
        <v>35642.488180999993</v>
      </c>
      <c r="K10" s="217">
        <f>'anexa 4 lei'!K10/'anexa 4 lei'!$K$4</f>
        <v>35187.133320999994</v>
      </c>
      <c r="L10" s="743">
        <f>'anexa 4 lei'!L10/'anexa 4 lei'!$K$4</f>
        <v>142405.579</v>
      </c>
      <c r="M10" s="220">
        <f>'anexa 4 lei'!M10/'anexa 4 lei'!$K$4</f>
        <v>141302.16882333334</v>
      </c>
      <c r="N10" s="742">
        <f>'anexa 4 lei'!N10/'anexa 4 lei'!$K$4</f>
        <v>138839.55376400001</v>
      </c>
      <c r="O10" s="547">
        <f>'anexa 4 lei'!O10/'anexa 4 lei'!$K$4</f>
        <v>0</v>
      </c>
    </row>
    <row r="11" spans="1:15" ht="21.75" customHeight="1" x14ac:dyDescent="0.2">
      <c r="A11" s="826"/>
      <c r="B11" s="215" t="s">
        <v>4</v>
      </c>
      <c r="C11" s="827" t="s">
        <v>113</v>
      </c>
      <c r="D11" s="827"/>
      <c r="E11" s="827"/>
      <c r="F11" s="770">
        <f>F10+1</f>
        <v>2</v>
      </c>
      <c r="G11" s="216">
        <f>'anexa 4 lei'!G11/'anexa 4 lei'!$K$4</f>
        <v>137889.49609</v>
      </c>
      <c r="H11" s="216">
        <f>'anexa 4 lei'!H11/'anexa 4 lei'!$K$4</f>
        <v>32362.674555000001</v>
      </c>
      <c r="I11" s="216">
        <f>'anexa 4 lei'!I11/'anexa 4 lei'!$K$4</f>
        <v>35097.230835000002</v>
      </c>
      <c r="J11" s="216">
        <f>'anexa 4 lei'!J11/'anexa 4 lei'!$K$4</f>
        <v>35442.472554999993</v>
      </c>
      <c r="K11" s="558">
        <f>'anexa 4 lei'!K11/'anexa 4 lei'!$K$4</f>
        <v>34987.118144999993</v>
      </c>
      <c r="L11" s="554">
        <f>'anexa 4 lei'!L11/'anexa 4 lei'!$K$4</f>
        <v>140617.53400000001</v>
      </c>
      <c r="M11" s="216">
        <f>'anexa 4 lei'!M11/'anexa 4 lei'!$K$4</f>
        <v>139716.98451333336</v>
      </c>
      <c r="N11" s="216">
        <f>'anexa 4 lei'!N11/'anexa 4 lei'!$K$4</f>
        <v>137889.49609</v>
      </c>
      <c r="O11" s="558">
        <f>'anexa 4 lei'!O11/'anexa 4 lei'!$K$4</f>
        <v>0</v>
      </c>
    </row>
    <row r="12" spans="1:15" ht="30" customHeight="1" x14ac:dyDescent="0.2">
      <c r="A12" s="826"/>
      <c r="B12" s="828"/>
      <c r="C12" s="763" t="s">
        <v>27</v>
      </c>
      <c r="D12" s="829" t="s">
        <v>315</v>
      </c>
      <c r="E12" s="829"/>
      <c r="F12" s="763">
        <f t="shared" ref="F12:F75" si="0">F11+1</f>
        <v>3</v>
      </c>
      <c r="G12" s="187">
        <f>'anexa 4 lei'!G12/'anexa 4 lei'!$K$4</f>
        <v>134459.08855799999</v>
      </c>
      <c r="H12" s="187">
        <f>'anexa 4 lei'!H12/'anexa 4 lei'!$K$4</f>
        <v>31857.808556999997</v>
      </c>
      <c r="I12" s="187">
        <f>'anexa 4 lei'!I12/'anexa 4 lei'!$K$4</f>
        <v>34202.287296999995</v>
      </c>
      <c r="J12" s="187">
        <f>'anexa 4 lei'!J12/'anexa 4 lei'!$K$4</f>
        <v>34519.212156999994</v>
      </c>
      <c r="K12" s="555">
        <f>'anexa 4 lei'!K12/'anexa 4 lei'!$K$4</f>
        <v>33879.780546999995</v>
      </c>
      <c r="L12" s="551">
        <f>'anexa 4 lei'!L12/'anexa 4 lei'!$K$4</f>
        <v>135360.508</v>
      </c>
      <c r="M12" s="187">
        <f>'anexa 4 lei'!M12/'anexa 4 lei'!$K$4</f>
        <v>135314.41500000001</v>
      </c>
      <c r="N12" s="187">
        <f>'anexa 4 lei'!N12/'anexa 4 lei'!$K$4</f>
        <v>134459.08855799999</v>
      </c>
      <c r="O12" s="555">
        <f>'anexa 4 lei'!O12/'anexa 4 lei'!$K$4</f>
        <v>0</v>
      </c>
    </row>
    <row r="13" spans="1:15" x14ac:dyDescent="0.2">
      <c r="A13" s="826"/>
      <c r="B13" s="828"/>
      <c r="C13" s="763"/>
      <c r="D13" s="763" t="s">
        <v>237</v>
      </c>
      <c r="E13" s="764" t="s">
        <v>316</v>
      </c>
      <c r="F13" s="763">
        <f t="shared" si="0"/>
        <v>4</v>
      </c>
      <c r="G13" s="187">
        <f>'anexa 4 lei'!G13/'anexa 4 lei'!$K$4</f>
        <v>0</v>
      </c>
      <c r="H13" s="187">
        <f>'anexa 4 lei'!H13/'anexa 4 lei'!$K$4</f>
        <v>0</v>
      </c>
      <c r="I13" s="187">
        <f>'anexa 4 lei'!I13/'anexa 4 lei'!$K$4</f>
        <v>0</v>
      </c>
      <c r="J13" s="187">
        <f>'anexa 4 lei'!J13/'anexa 4 lei'!$K$4</f>
        <v>0</v>
      </c>
      <c r="K13" s="555">
        <f>'anexa 4 lei'!K13/'anexa 4 lei'!$K$4</f>
        <v>0</v>
      </c>
      <c r="L13" s="551">
        <f>'anexa 4 lei'!L13/'anexa 4 lei'!$K$4</f>
        <v>0</v>
      </c>
      <c r="M13" s="187">
        <f>'anexa 4 lei'!M13/'anexa 4 lei'!$K$4</f>
        <v>0</v>
      </c>
      <c r="N13" s="187">
        <f>'anexa 4 lei'!N13/'anexa 4 lei'!$K$4</f>
        <v>0</v>
      </c>
      <c r="O13" s="555">
        <f>'anexa 4 lei'!O13/'anexa 4 lei'!$K$4</f>
        <v>0</v>
      </c>
    </row>
    <row r="14" spans="1:15" x14ac:dyDescent="0.2">
      <c r="A14" s="826"/>
      <c r="B14" s="828"/>
      <c r="C14" s="763"/>
      <c r="D14" s="763" t="s">
        <v>66</v>
      </c>
      <c r="E14" s="764" t="s">
        <v>317</v>
      </c>
      <c r="F14" s="763">
        <f t="shared" si="0"/>
        <v>5</v>
      </c>
      <c r="G14" s="187">
        <f>'anexa 4 lei'!G14/'anexa 4 lei'!$K$4</f>
        <v>134155.59914800001</v>
      </c>
      <c r="H14" s="187">
        <f>'anexa 4 lei'!H14/'anexa 4 lei'!$K$4</f>
        <v>31794.722261999999</v>
      </c>
      <c r="I14" s="187">
        <f>'anexa 4 lei'!I14/'anexa 4 lei'!$K$4</f>
        <v>34119.184692000003</v>
      </c>
      <c r="J14" s="187">
        <f>'anexa 4 lei'!J14/'anexa 4 lei'!$K$4</f>
        <v>34435.523082</v>
      </c>
      <c r="K14" s="555">
        <f>'anexa 4 lei'!K14/'anexa 4 lei'!$K$4</f>
        <v>33806.169112000003</v>
      </c>
      <c r="L14" s="551">
        <f>'anexa 4 lei'!L14/'anexa 4 lei'!$K$4</f>
        <v>134955.967</v>
      </c>
      <c r="M14" s="187">
        <f>'anexa 4 lei'!M14/'anexa 4 lei'!$K$4</f>
        <v>135015.554</v>
      </c>
      <c r="N14" s="187">
        <f>'anexa 4 lei'!N14/'anexa 4 lei'!$K$4</f>
        <v>134155.59914800001</v>
      </c>
      <c r="O14" s="555">
        <f>'anexa 4 lei'!O14/'anexa 4 lei'!$K$4</f>
        <v>0</v>
      </c>
    </row>
    <row r="15" spans="1:15" x14ac:dyDescent="0.2">
      <c r="A15" s="826"/>
      <c r="B15" s="828"/>
      <c r="C15" s="763"/>
      <c r="D15" s="763" t="s">
        <v>318</v>
      </c>
      <c r="E15" s="764" t="s">
        <v>319</v>
      </c>
      <c r="F15" s="763">
        <f t="shared" si="0"/>
        <v>6</v>
      </c>
      <c r="G15" s="187">
        <f>'anexa 4 lei'!G15/'anexa 4 lei'!$K$4</f>
        <v>75.980931999999996</v>
      </c>
      <c r="H15" s="187">
        <f>'anexa 4 lei'!H15/'anexa 4 lei'!$K$4</f>
        <v>19.014983000000001</v>
      </c>
      <c r="I15" s="187">
        <f>'anexa 4 lei'!I15/'anexa 4 lei'!$K$4</f>
        <v>18.984983</v>
      </c>
      <c r="J15" s="187">
        <f>'anexa 4 lei'!J15/'anexa 4 lei'!$K$4</f>
        <v>18.985983000000001</v>
      </c>
      <c r="K15" s="555">
        <f>'anexa 4 lei'!K15/'anexa 4 lei'!$K$4</f>
        <v>18.994983000000001</v>
      </c>
      <c r="L15" s="551">
        <f>'anexa 4 lei'!L15/'anexa 4 lei'!$K$4</f>
        <v>83.703000000000003</v>
      </c>
      <c r="M15" s="187">
        <f>'anexa 4 lei'!M15/'anexa 4 lei'!$K$4</f>
        <v>82.013999999999996</v>
      </c>
      <c r="N15" s="187">
        <f>'anexa 4 lei'!N15/'anexa 4 lei'!$K$4</f>
        <v>75.980931999999996</v>
      </c>
      <c r="O15" s="555">
        <f>'anexa 4 lei'!O15/'anexa 4 lei'!$K$4</f>
        <v>0</v>
      </c>
    </row>
    <row r="16" spans="1:15" x14ac:dyDescent="0.2">
      <c r="A16" s="826"/>
      <c r="B16" s="828"/>
      <c r="C16" s="763"/>
      <c r="D16" s="763" t="s">
        <v>320</v>
      </c>
      <c r="E16" s="764" t="s">
        <v>321</v>
      </c>
      <c r="F16" s="763">
        <f t="shared" si="0"/>
        <v>7</v>
      </c>
      <c r="G16" s="187">
        <f>'anexa 4 lei'!G16/'anexa 4 lei'!$K$4</f>
        <v>227.508478</v>
      </c>
      <c r="H16" s="187">
        <f>'anexa 4 lei'!H16/'anexa 4 lei'!$K$4</f>
        <v>44.071311999999999</v>
      </c>
      <c r="I16" s="187">
        <f>'anexa 4 lei'!I16/'anexa 4 lei'!$K$4</f>
        <v>64.117621999999997</v>
      </c>
      <c r="J16" s="187">
        <f>'anexa 4 lei'!J16/'anexa 4 lei'!$K$4</f>
        <v>64.703091999999998</v>
      </c>
      <c r="K16" s="555">
        <f>'anexa 4 lei'!K16/'anexa 4 lei'!$K$4</f>
        <v>54.616451999999995</v>
      </c>
      <c r="L16" s="551">
        <f>'anexa 4 lei'!L16/'anexa 4 lei'!$K$4</f>
        <v>320.83800000000002</v>
      </c>
      <c r="M16" s="187">
        <f>'anexa 4 lei'!M16/'anexa 4 lei'!$K$4</f>
        <v>216.84700000000001</v>
      </c>
      <c r="N16" s="187">
        <f>'anexa 4 lei'!N16/'anexa 4 lei'!$K$4</f>
        <v>227.508478</v>
      </c>
      <c r="O16" s="555">
        <f>'anexa 4 lei'!O16/'anexa 4 lei'!$K$4</f>
        <v>0</v>
      </c>
    </row>
    <row r="17" spans="1:15" x14ac:dyDescent="0.2">
      <c r="A17" s="826"/>
      <c r="B17" s="828"/>
      <c r="C17" s="763" t="s">
        <v>38</v>
      </c>
      <c r="D17" s="830" t="s">
        <v>322</v>
      </c>
      <c r="E17" s="830"/>
      <c r="F17" s="763">
        <f t="shared" si="0"/>
        <v>8</v>
      </c>
      <c r="G17" s="187">
        <f>'anexa 4 lei'!G17/'anexa 4 lei'!$K$4</f>
        <v>0</v>
      </c>
      <c r="H17" s="187">
        <f>'anexa 4 lei'!H17/'anexa 4 lei'!$K$4</f>
        <v>0</v>
      </c>
      <c r="I17" s="187">
        <f>'anexa 4 lei'!I17/'anexa 4 lei'!$K$4</f>
        <v>0</v>
      </c>
      <c r="J17" s="187">
        <f>'anexa 4 lei'!J17/'anexa 4 lei'!$K$4</f>
        <v>0</v>
      </c>
      <c r="K17" s="555">
        <f>'anexa 4 lei'!K17/'anexa 4 lei'!$K$4</f>
        <v>0</v>
      </c>
      <c r="L17" s="551">
        <f>'anexa 4 lei'!L17/'anexa 4 lei'!$K$4</f>
        <v>0</v>
      </c>
      <c r="M17" s="187">
        <f>'anexa 4 lei'!M17/'anexa 4 lei'!$K$4</f>
        <v>0</v>
      </c>
      <c r="N17" s="187">
        <f>'anexa 4 lei'!N17/'anexa 4 lei'!$K$4</f>
        <v>0</v>
      </c>
      <c r="O17" s="555">
        <f>'anexa 4 lei'!O17/'anexa 4 lei'!$K$4</f>
        <v>0</v>
      </c>
    </row>
    <row r="18" spans="1:15" ht="46.5" customHeight="1" x14ac:dyDescent="0.2">
      <c r="A18" s="826"/>
      <c r="B18" s="828"/>
      <c r="C18" s="763" t="s">
        <v>40</v>
      </c>
      <c r="D18" s="829" t="s">
        <v>323</v>
      </c>
      <c r="E18" s="829"/>
      <c r="F18" s="763">
        <f t="shared" si="0"/>
        <v>9</v>
      </c>
      <c r="G18" s="187">
        <f>'anexa 4 lei'!G18/'anexa 4 lei'!$K$4</f>
        <v>0</v>
      </c>
      <c r="H18" s="187">
        <f>'anexa 4 lei'!H18/'anexa 4 lei'!$K$4</f>
        <v>0</v>
      </c>
      <c r="I18" s="187">
        <f>'anexa 4 lei'!I18/'anexa 4 lei'!$K$4</f>
        <v>0</v>
      </c>
      <c r="J18" s="187">
        <f>'anexa 4 lei'!J18/'anexa 4 lei'!$K$4</f>
        <v>0</v>
      </c>
      <c r="K18" s="555">
        <f>'anexa 4 lei'!K18/'anexa 4 lei'!$K$4</f>
        <v>0</v>
      </c>
      <c r="L18" s="551">
        <f>'anexa 4 lei'!L18/'anexa 4 lei'!$K$4</f>
        <v>0</v>
      </c>
      <c r="M18" s="187">
        <f>'anexa 4 lei'!M18/'anexa 4 lei'!$K$4</f>
        <v>0</v>
      </c>
      <c r="N18" s="187">
        <f>'anexa 4 lei'!N18/'anexa 4 lei'!$K$4</f>
        <v>0</v>
      </c>
      <c r="O18" s="555">
        <f>'anexa 4 lei'!O18/'anexa 4 lei'!$K$4</f>
        <v>0</v>
      </c>
    </row>
    <row r="19" spans="1:15" x14ac:dyDescent="0.2">
      <c r="A19" s="826"/>
      <c r="B19" s="828"/>
      <c r="C19" s="831"/>
      <c r="D19" s="763" t="s">
        <v>324</v>
      </c>
      <c r="E19" s="764" t="s">
        <v>325</v>
      </c>
      <c r="F19" s="763">
        <f t="shared" si="0"/>
        <v>10</v>
      </c>
      <c r="G19" s="187">
        <f>'anexa 4 lei'!G19/'anexa 4 lei'!$K$4</f>
        <v>0</v>
      </c>
      <c r="H19" s="187">
        <f>'anexa 4 lei'!H19/'anexa 4 lei'!$K$4</f>
        <v>0</v>
      </c>
      <c r="I19" s="187">
        <f>'anexa 4 lei'!I19/'anexa 4 lei'!$K$4</f>
        <v>0</v>
      </c>
      <c r="J19" s="187">
        <f>'anexa 4 lei'!J19/'anexa 4 lei'!$K$4</f>
        <v>0</v>
      </c>
      <c r="K19" s="555">
        <f>'anexa 4 lei'!K19/'anexa 4 lei'!$K$4</f>
        <v>0</v>
      </c>
      <c r="L19" s="551">
        <f>'anexa 4 lei'!L19/'anexa 4 lei'!$K$4</f>
        <v>0</v>
      </c>
      <c r="M19" s="187">
        <f>'anexa 4 lei'!M19/'anexa 4 lei'!$K$4</f>
        <v>0</v>
      </c>
      <c r="N19" s="187">
        <f>'anexa 4 lei'!N19/'anexa 4 lei'!$K$4</f>
        <v>0</v>
      </c>
      <c r="O19" s="555">
        <f>'anexa 4 lei'!O19/'anexa 4 lei'!$K$4</f>
        <v>0</v>
      </c>
    </row>
    <row r="20" spans="1:15" x14ac:dyDescent="0.2">
      <c r="A20" s="826"/>
      <c r="B20" s="828"/>
      <c r="C20" s="831"/>
      <c r="D20" s="763" t="s">
        <v>67</v>
      </c>
      <c r="E20" s="764" t="s">
        <v>32</v>
      </c>
      <c r="F20" s="763">
        <f t="shared" si="0"/>
        <v>11</v>
      </c>
      <c r="G20" s="187">
        <f>'anexa 4 lei'!G20/'anexa 4 lei'!$K$4</f>
        <v>0</v>
      </c>
      <c r="H20" s="187">
        <f>'anexa 4 lei'!H20/'anexa 4 lei'!$K$4</f>
        <v>0</v>
      </c>
      <c r="I20" s="187">
        <f>'anexa 4 lei'!I20/'anexa 4 lei'!$K$4</f>
        <v>0</v>
      </c>
      <c r="J20" s="187">
        <f>'anexa 4 lei'!J20/'anexa 4 lei'!$K$4</f>
        <v>0</v>
      </c>
      <c r="K20" s="555">
        <f>'anexa 4 lei'!K20/'anexa 4 lei'!$K$4</f>
        <v>0</v>
      </c>
      <c r="L20" s="551">
        <f>'anexa 4 lei'!L20/'anexa 4 lei'!$K$4</f>
        <v>0</v>
      </c>
      <c r="M20" s="187">
        <f>'anexa 4 lei'!M20/'anexa 4 lei'!$K$4</f>
        <v>0</v>
      </c>
      <c r="N20" s="187">
        <f>'anexa 4 lei'!N20/'anexa 4 lei'!$K$4</f>
        <v>0</v>
      </c>
      <c r="O20" s="555">
        <f>'anexa 4 lei'!O20/'anexa 4 lei'!$K$4</f>
        <v>0</v>
      </c>
    </row>
    <row r="21" spans="1:15" x14ac:dyDescent="0.2">
      <c r="A21" s="826"/>
      <c r="B21" s="828"/>
      <c r="C21" s="763" t="s">
        <v>42</v>
      </c>
      <c r="D21" s="830" t="s">
        <v>326</v>
      </c>
      <c r="E21" s="830"/>
      <c r="F21" s="763">
        <f t="shared" si="0"/>
        <v>12</v>
      </c>
      <c r="G21" s="187">
        <f>'anexa 4 lei'!G21/'anexa 4 lei'!$K$4</f>
        <v>2103.8000000000002</v>
      </c>
      <c r="H21" s="187">
        <f>'anexa 4 lei'!H21/'anexa 4 lei'!$K$4</f>
        <v>183.4</v>
      </c>
      <c r="I21" s="187">
        <f>'anexa 4 lei'!I21/'anexa 4 lei'!$K$4</f>
        <v>554.4</v>
      </c>
      <c r="J21" s="187">
        <f>'anexa 4 lei'!J21/'anexa 4 lei'!$K$4</f>
        <v>581.5</v>
      </c>
      <c r="K21" s="555">
        <f>'anexa 4 lei'!K21/'anexa 4 lei'!$K$4</f>
        <v>784.5</v>
      </c>
      <c r="L21" s="551">
        <f>'anexa 4 lei'!L21/'anexa 4 lei'!$K$4</f>
        <v>2116.3739999999998</v>
      </c>
      <c r="M21" s="187">
        <f>'anexa 4 lei'!M21/'anexa 4 lei'!$K$4</f>
        <v>1765.8333333333335</v>
      </c>
      <c r="N21" s="187">
        <f>'anexa 4 lei'!N21/'anexa 4 lei'!$K$4</f>
        <v>2103.8000000000002</v>
      </c>
      <c r="O21" s="555">
        <f>'anexa 4 lei'!O21/'anexa 4 lei'!$K$4</f>
        <v>0</v>
      </c>
    </row>
    <row r="22" spans="1:15" ht="30" customHeight="1" x14ac:dyDescent="0.2">
      <c r="A22" s="826"/>
      <c r="B22" s="828"/>
      <c r="C22" s="763" t="s">
        <v>28</v>
      </c>
      <c r="D22" s="829" t="s">
        <v>327</v>
      </c>
      <c r="E22" s="829"/>
      <c r="F22" s="763">
        <f t="shared" si="0"/>
        <v>13</v>
      </c>
      <c r="G22" s="187">
        <f>'anexa 4 lei'!G22/'anexa 4 lei'!$K$4</f>
        <v>0</v>
      </c>
      <c r="H22" s="187">
        <f>'anexa 4 lei'!H22/'anexa 4 lei'!$K$4</f>
        <v>0</v>
      </c>
      <c r="I22" s="187">
        <f>'anexa 4 lei'!I22/'anexa 4 lei'!$K$4</f>
        <v>0</v>
      </c>
      <c r="J22" s="187">
        <f>'anexa 4 lei'!J22/'anexa 4 lei'!$K$4</f>
        <v>0</v>
      </c>
      <c r="K22" s="555">
        <f>'anexa 4 lei'!K22/'anexa 4 lei'!$K$4</f>
        <v>0</v>
      </c>
      <c r="L22" s="551">
        <f>'anexa 4 lei'!L22/'anexa 4 lei'!$K$4</f>
        <v>0</v>
      </c>
      <c r="M22" s="187">
        <f>'anexa 4 lei'!M22/'anexa 4 lei'!$K$4</f>
        <v>0</v>
      </c>
      <c r="N22" s="187">
        <f>'anexa 4 lei'!N22/'anexa 4 lei'!$K$4</f>
        <v>0</v>
      </c>
      <c r="O22" s="555">
        <f>'anexa 4 lei'!O22/'anexa 4 lei'!$K$4</f>
        <v>0</v>
      </c>
    </row>
    <row r="23" spans="1:15" ht="13.5" customHeight="1" x14ac:dyDescent="0.2">
      <c r="A23" s="826"/>
      <c r="B23" s="762"/>
      <c r="C23" s="763" t="s">
        <v>34</v>
      </c>
      <c r="D23" s="829" t="s">
        <v>328</v>
      </c>
      <c r="E23" s="829"/>
      <c r="F23" s="763">
        <f t="shared" si="0"/>
        <v>14</v>
      </c>
      <c r="G23" s="187">
        <f>'anexa 4 lei'!G23/'anexa 4 lei'!$K$4</f>
        <v>1326.607532</v>
      </c>
      <c r="H23" s="187">
        <f>'anexa 4 lei'!H23/'anexa 4 lei'!$K$4</f>
        <v>321.46599800000001</v>
      </c>
      <c r="I23" s="187">
        <f>'anexa 4 lei'!I23/'anexa 4 lei'!$K$4</f>
        <v>340.54353800000001</v>
      </c>
      <c r="J23" s="187">
        <f>'anexa 4 lei'!J23/'anexa 4 lei'!$K$4</f>
        <v>341.76039800000001</v>
      </c>
      <c r="K23" s="555">
        <f>'anexa 4 lei'!K23/'anexa 4 lei'!$K$4</f>
        <v>322.83759800000001</v>
      </c>
      <c r="L23" s="551">
        <f>'anexa 4 lei'!L23/'anexa 4 lei'!$K$4</f>
        <v>3140.652</v>
      </c>
      <c r="M23" s="187">
        <f>'anexa 4 lei'!M23/'anexa 4 lei'!$K$4</f>
        <v>2636.7361799999999</v>
      </c>
      <c r="N23" s="187">
        <f>'anexa 4 lei'!N23/'anexa 4 lei'!$K$4</f>
        <v>1326.607532</v>
      </c>
      <c r="O23" s="555">
        <f>'anexa 4 lei'!O23/'anexa 4 lei'!$K$4</f>
        <v>0</v>
      </c>
    </row>
    <row r="24" spans="1:15" x14ac:dyDescent="0.2">
      <c r="A24" s="826"/>
      <c r="B24" s="762"/>
      <c r="C24" s="763"/>
      <c r="D24" s="763" t="s">
        <v>329</v>
      </c>
      <c r="E24" s="764" t="s">
        <v>330</v>
      </c>
      <c r="F24" s="763">
        <f t="shared" si="0"/>
        <v>15</v>
      </c>
      <c r="G24" s="187">
        <f>'anexa 4 lei'!G24/'anexa 4 lei'!$K$4</f>
        <v>519.27412400000003</v>
      </c>
      <c r="H24" s="187">
        <f>'anexa 4 lei'!H24/'anexa 4 lei'!$K$4</f>
        <v>119.68514599999999</v>
      </c>
      <c r="I24" s="187">
        <f>'anexa 4 lei'!I24/'anexa 4 lei'!$K$4</f>
        <v>138.71268599999999</v>
      </c>
      <c r="J24" s="187">
        <f>'anexa 4 lei'!J24/'anexa 4 lei'!$K$4</f>
        <v>139.87954599999998</v>
      </c>
      <c r="K24" s="555">
        <f>'anexa 4 lei'!K24/'anexa 4 lei'!$K$4</f>
        <v>120.996746</v>
      </c>
      <c r="L24" s="551">
        <f>'anexa 4 lei'!L24/'anexa 4 lei'!$K$4</f>
        <v>1957.8230000000001</v>
      </c>
      <c r="M24" s="187">
        <f>'anexa 4 lei'!M24/'anexa 4 lei'!$K$4</f>
        <v>530.13617999999997</v>
      </c>
      <c r="N24" s="187">
        <f>'anexa 4 lei'!N24/'anexa 4 lei'!$K$4</f>
        <v>519.27412400000003</v>
      </c>
      <c r="O24" s="555">
        <f>'anexa 4 lei'!O24/'anexa 4 lei'!$K$4</f>
        <v>0</v>
      </c>
    </row>
    <row r="25" spans="1:15" ht="25.5" x14ac:dyDescent="0.2">
      <c r="A25" s="826"/>
      <c r="B25" s="762"/>
      <c r="C25" s="763"/>
      <c r="D25" s="763" t="s">
        <v>52</v>
      </c>
      <c r="E25" s="761" t="s">
        <v>331</v>
      </c>
      <c r="F25" s="763">
        <f t="shared" si="0"/>
        <v>16</v>
      </c>
      <c r="G25" s="187">
        <f>'anexa 4 lei'!G25/'anexa 4 lei'!$K$4</f>
        <v>0</v>
      </c>
      <c r="H25" s="187">
        <f>'anexa 4 lei'!H25/'anexa 4 lei'!$K$4</f>
        <v>0</v>
      </c>
      <c r="I25" s="187">
        <f>'anexa 4 lei'!I25/'anexa 4 lei'!$K$4</f>
        <v>0</v>
      </c>
      <c r="J25" s="187">
        <f>'anexa 4 lei'!J25/'anexa 4 lei'!$K$4</f>
        <v>0</v>
      </c>
      <c r="K25" s="555">
        <f>'anexa 4 lei'!K25/'anexa 4 lei'!$K$4</f>
        <v>0</v>
      </c>
      <c r="L25" s="551">
        <f>'anexa 4 lei'!L25/'anexa 4 lei'!$K$4</f>
        <v>0</v>
      </c>
      <c r="M25" s="187">
        <f>'anexa 4 lei'!M25/'anexa 4 lei'!$K$4</f>
        <v>0</v>
      </c>
      <c r="N25" s="187">
        <f>'anexa 4 lei'!N25/'anexa 4 lei'!$K$4</f>
        <v>0</v>
      </c>
      <c r="O25" s="555">
        <f>'anexa 4 lei'!O25/'anexa 4 lei'!$K$4</f>
        <v>0</v>
      </c>
    </row>
    <row r="26" spans="1:15" x14ac:dyDescent="0.2">
      <c r="A26" s="826"/>
      <c r="B26" s="762"/>
      <c r="C26" s="763"/>
      <c r="D26" s="763"/>
      <c r="E26" s="764" t="s">
        <v>332</v>
      </c>
      <c r="F26" s="763">
        <f t="shared" si="0"/>
        <v>17</v>
      </c>
      <c r="G26" s="187">
        <f>'anexa 4 lei'!G26/'anexa 4 lei'!$K$4</f>
        <v>0</v>
      </c>
      <c r="H26" s="187">
        <f>'anexa 4 lei'!H26/'anexa 4 lei'!$K$4</f>
        <v>0</v>
      </c>
      <c r="I26" s="187">
        <f>'anexa 4 lei'!I26/'anexa 4 lei'!$K$4</f>
        <v>0</v>
      </c>
      <c r="J26" s="187">
        <f>'anexa 4 lei'!J26/'anexa 4 lei'!$K$4</f>
        <v>0</v>
      </c>
      <c r="K26" s="555">
        <f>'anexa 4 lei'!K26/'anexa 4 lei'!$K$4</f>
        <v>0</v>
      </c>
      <c r="L26" s="551">
        <f>'anexa 4 lei'!L26/'anexa 4 lei'!$K$4</f>
        <v>0</v>
      </c>
      <c r="M26" s="187">
        <f>'anexa 4 lei'!M26/'anexa 4 lei'!$K$4</f>
        <v>0</v>
      </c>
      <c r="N26" s="187">
        <f>'anexa 4 lei'!N26/'anexa 4 lei'!$K$4</f>
        <v>0</v>
      </c>
      <c r="O26" s="555">
        <f>'anexa 4 lei'!O26/'anexa 4 lei'!$K$4</f>
        <v>0</v>
      </c>
    </row>
    <row r="27" spans="1:15" x14ac:dyDescent="0.2">
      <c r="A27" s="826"/>
      <c r="B27" s="762"/>
      <c r="C27" s="763"/>
      <c r="D27" s="763"/>
      <c r="E27" s="764" t="s">
        <v>333</v>
      </c>
      <c r="F27" s="763">
        <f t="shared" si="0"/>
        <v>18</v>
      </c>
      <c r="G27" s="187">
        <f>'anexa 4 lei'!G27/'anexa 4 lei'!$K$4</f>
        <v>0</v>
      </c>
      <c r="H27" s="187">
        <f>'anexa 4 lei'!H27/'anexa 4 lei'!$K$4</f>
        <v>0</v>
      </c>
      <c r="I27" s="187">
        <f>'anexa 4 lei'!I27/'anexa 4 lei'!$K$4</f>
        <v>0</v>
      </c>
      <c r="J27" s="187">
        <f>'anexa 4 lei'!J27/'anexa 4 lei'!$K$4</f>
        <v>0</v>
      </c>
      <c r="K27" s="555">
        <f>'anexa 4 lei'!K27/'anexa 4 lei'!$K$4</f>
        <v>0</v>
      </c>
      <c r="L27" s="551">
        <f>'anexa 4 lei'!L27/'anexa 4 lei'!$K$4</f>
        <v>0</v>
      </c>
      <c r="M27" s="187">
        <f>'anexa 4 lei'!M27/'anexa 4 lei'!$K$4</f>
        <v>0</v>
      </c>
      <c r="N27" s="187">
        <f>'anexa 4 lei'!N27/'anexa 4 lei'!$K$4</f>
        <v>0</v>
      </c>
      <c r="O27" s="555">
        <f>'anexa 4 lei'!O27/'anexa 4 lei'!$K$4</f>
        <v>0</v>
      </c>
    </row>
    <row r="28" spans="1:15" x14ac:dyDescent="0.2">
      <c r="A28" s="826"/>
      <c r="B28" s="762"/>
      <c r="C28" s="763"/>
      <c r="D28" s="763" t="s">
        <v>53</v>
      </c>
      <c r="E28" s="764" t="s">
        <v>334</v>
      </c>
      <c r="F28" s="763">
        <f t="shared" si="0"/>
        <v>19</v>
      </c>
      <c r="G28" s="187">
        <f>'anexa 4 lei'!G28/'anexa 4 lei'!$K$4</f>
        <v>0</v>
      </c>
      <c r="H28" s="187">
        <f>'anexa 4 lei'!H28/'anexa 4 lei'!$K$4</f>
        <v>0</v>
      </c>
      <c r="I28" s="187">
        <f>'anexa 4 lei'!I28/'anexa 4 lei'!$K$4</f>
        <v>0</v>
      </c>
      <c r="J28" s="187">
        <f>'anexa 4 lei'!J28/'anexa 4 lei'!$K$4</f>
        <v>0</v>
      </c>
      <c r="K28" s="555">
        <f>'anexa 4 lei'!K28/'anexa 4 lei'!$K$4</f>
        <v>0</v>
      </c>
      <c r="L28" s="551">
        <f>'anexa 4 lei'!L28/'anexa 4 lei'!$K$4</f>
        <v>0</v>
      </c>
      <c r="M28" s="187">
        <f>'anexa 4 lei'!M28/'anexa 4 lei'!$K$4</f>
        <v>0</v>
      </c>
      <c r="N28" s="187">
        <f>'anexa 4 lei'!N28/'anexa 4 lei'!$K$4</f>
        <v>0</v>
      </c>
      <c r="O28" s="555">
        <f>'anexa 4 lei'!O28/'anexa 4 lei'!$K$4</f>
        <v>0</v>
      </c>
    </row>
    <row r="29" spans="1:15" x14ac:dyDescent="0.2">
      <c r="A29" s="826"/>
      <c r="B29" s="762"/>
      <c r="C29" s="763"/>
      <c r="D29" s="763" t="s">
        <v>54</v>
      </c>
      <c r="E29" s="764" t="s">
        <v>335</v>
      </c>
      <c r="F29" s="763">
        <f t="shared" si="0"/>
        <v>20</v>
      </c>
      <c r="G29" s="187">
        <f>'anexa 4 lei'!G29/'anexa 4 lei'!$K$4</f>
        <v>0</v>
      </c>
      <c r="H29" s="187">
        <f>'anexa 4 lei'!H29/'anexa 4 lei'!$K$4</f>
        <v>0</v>
      </c>
      <c r="I29" s="187">
        <f>'anexa 4 lei'!I29/'anexa 4 lei'!$K$4</f>
        <v>0</v>
      </c>
      <c r="J29" s="187">
        <f>'anexa 4 lei'!J29/'anexa 4 lei'!$K$4</f>
        <v>0</v>
      </c>
      <c r="K29" s="555">
        <f>'anexa 4 lei'!K29/'anexa 4 lei'!$K$4</f>
        <v>0</v>
      </c>
      <c r="L29" s="551">
        <f>'anexa 4 lei'!L29/'anexa 4 lei'!$K$4</f>
        <v>0</v>
      </c>
      <c r="M29" s="187">
        <f>'anexa 4 lei'!M29/'anexa 4 lei'!$K$4</f>
        <v>0</v>
      </c>
      <c r="N29" s="187">
        <f>'anexa 4 lei'!N29/'anexa 4 lei'!$K$4</f>
        <v>0</v>
      </c>
      <c r="O29" s="555">
        <f>'anexa 4 lei'!O29/'anexa 4 lei'!$K$4</f>
        <v>0</v>
      </c>
    </row>
    <row r="30" spans="1:15" x14ac:dyDescent="0.2">
      <c r="A30" s="826"/>
      <c r="B30" s="762"/>
      <c r="C30" s="763"/>
      <c r="D30" s="763" t="s">
        <v>55</v>
      </c>
      <c r="E30" s="764" t="s">
        <v>321</v>
      </c>
      <c r="F30" s="763">
        <f t="shared" si="0"/>
        <v>21</v>
      </c>
      <c r="G30" s="187">
        <f>'anexa 4 lei'!G30/'anexa 4 lei'!$K$4</f>
        <v>807.33340800000008</v>
      </c>
      <c r="H30" s="187">
        <f>'anexa 4 lei'!H30/'anexa 4 lei'!$K$4</f>
        <v>201.78085200000001</v>
      </c>
      <c r="I30" s="187">
        <f>'anexa 4 lei'!I30/'anexa 4 lei'!$K$4</f>
        <v>201.83085200000002</v>
      </c>
      <c r="J30" s="187">
        <f>'anexa 4 lei'!J30/'anexa 4 lei'!$K$4</f>
        <v>201.880852</v>
      </c>
      <c r="K30" s="555">
        <f>'anexa 4 lei'!K30/'anexa 4 lei'!$K$4</f>
        <v>201.84085200000001</v>
      </c>
      <c r="L30" s="551">
        <f>'anexa 4 lei'!L30/'anexa 4 lei'!$K$4</f>
        <v>1182.829</v>
      </c>
      <c r="M30" s="187">
        <f>'anexa 4 lei'!M30/'anexa 4 lei'!$K$4</f>
        <v>2106.6</v>
      </c>
      <c r="N30" s="187">
        <f>'anexa 4 lei'!N30/'anexa 4 lei'!$K$4</f>
        <v>807.33340800000008</v>
      </c>
      <c r="O30" s="555">
        <f>'anexa 4 lei'!O30/'anexa 4 lei'!$K$4</f>
        <v>0</v>
      </c>
    </row>
    <row r="31" spans="1:15" ht="13.5" customHeight="1" x14ac:dyDescent="0.2">
      <c r="A31" s="826"/>
      <c r="B31" s="762" t="s">
        <v>21</v>
      </c>
      <c r="C31" s="763"/>
      <c r="D31" s="829" t="s">
        <v>509</v>
      </c>
      <c r="E31" s="829"/>
      <c r="F31" s="763">
        <f t="shared" si="0"/>
        <v>22</v>
      </c>
      <c r="G31" s="187">
        <f>'anexa 4 lei'!G31/'anexa 4 lei'!$K$4</f>
        <v>950.05767400000002</v>
      </c>
      <c r="H31" s="187">
        <f>'anexa 4 lei'!H31/'anexa 4 lei'!$K$4</f>
        <v>300.01280599999996</v>
      </c>
      <c r="I31" s="187">
        <f>'anexa 4 lei'!I31/'anexa 4 lei'!$K$4</f>
        <v>250.01406600000001</v>
      </c>
      <c r="J31" s="187">
        <f>'anexa 4 lei'!J31/'anexa 4 lei'!$K$4</f>
        <v>200.01562600000003</v>
      </c>
      <c r="K31" s="555">
        <f>'anexa 4 lei'!K31/'anexa 4 lei'!$K$4</f>
        <v>200.015176</v>
      </c>
      <c r="L31" s="551">
        <f>'anexa 4 lei'!L31/'anexa 4 lei'!$K$4</f>
        <v>1788.0450000000001</v>
      </c>
      <c r="M31" s="187">
        <f>'anexa 4 lei'!M31/'anexa 4 lei'!$K$4</f>
        <v>1585.1843100000001</v>
      </c>
      <c r="N31" s="187">
        <f>'anexa 4 lei'!N31/'anexa 4 lei'!$K$4</f>
        <v>950.05767400000002</v>
      </c>
      <c r="O31" s="555">
        <f>'anexa 4 lei'!O31/'anexa 4 lei'!$K$4</f>
        <v>0</v>
      </c>
    </row>
    <row r="32" spans="1:15" x14ac:dyDescent="0.2">
      <c r="A32" s="826"/>
      <c r="B32" s="828"/>
      <c r="C32" s="763" t="s">
        <v>27</v>
      </c>
      <c r="D32" s="830" t="s">
        <v>337</v>
      </c>
      <c r="E32" s="830"/>
      <c r="F32" s="763">
        <f t="shared" si="0"/>
        <v>23</v>
      </c>
      <c r="G32" s="187">
        <f>'anexa 4 lei'!G32/'anexa 4 lei'!$K$4</f>
        <v>0</v>
      </c>
      <c r="H32" s="187">
        <f>'anexa 4 lei'!H32/'anexa 4 lei'!$K$4</f>
        <v>0</v>
      </c>
      <c r="I32" s="187">
        <f>'anexa 4 lei'!I32/'anexa 4 lei'!$K$4</f>
        <v>0</v>
      </c>
      <c r="J32" s="187">
        <f>'anexa 4 lei'!J32/'anexa 4 lei'!$K$4</f>
        <v>0</v>
      </c>
      <c r="K32" s="555">
        <f>'anexa 4 lei'!K32/'anexa 4 lei'!$K$4</f>
        <v>0</v>
      </c>
      <c r="L32" s="551">
        <f>'anexa 4 lei'!L32/'anexa 4 lei'!$K$4</f>
        <v>0</v>
      </c>
      <c r="M32" s="187">
        <f>'anexa 4 lei'!M32/'anexa 4 lei'!$K$4</f>
        <v>0</v>
      </c>
      <c r="N32" s="187">
        <f>'anexa 4 lei'!N32/'anexa 4 lei'!$K$4</f>
        <v>0</v>
      </c>
      <c r="O32" s="555">
        <f>'anexa 4 lei'!O32/'anexa 4 lei'!$K$4</f>
        <v>0</v>
      </c>
    </row>
    <row r="33" spans="1:15" x14ac:dyDescent="0.2">
      <c r="A33" s="826"/>
      <c r="B33" s="828"/>
      <c r="C33" s="763" t="s">
        <v>38</v>
      </c>
      <c r="D33" s="830" t="s">
        <v>338</v>
      </c>
      <c r="E33" s="830"/>
      <c r="F33" s="763">
        <f t="shared" si="0"/>
        <v>24</v>
      </c>
      <c r="G33" s="187">
        <f>'anexa 4 lei'!G33/'anexa 4 lei'!$K$4</f>
        <v>0</v>
      </c>
      <c r="H33" s="187">
        <f>'anexa 4 lei'!H33/'anexa 4 lei'!$K$4</f>
        <v>0</v>
      </c>
      <c r="I33" s="187">
        <f>'anexa 4 lei'!I33/'anexa 4 lei'!$K$4</f>
        <v>0</v>
      </c>
      <c r="J33" s="187">
        <f>'anexa 4 lei'!J33/'anexa 4 lei'!$K$4</f>
        <v>0</v>
      </c>
      <c r="K33" s="555">
        <f>'anexa 4 lei'!K33/'anexa 4 lei'!$K$4</f>
        <v>0</v>
      </c>
      <c r="L33" s="551">
        <f>'anexa 4 lei'!L33/'anexa 4 lei'!$K$4</f>
        <v>0</v>
      </c>
      <c r="M33" s="187">
        <f>'anexa 4 lei'!M33/'anexa 4 lei'!$K$4</f>
        <v>0</v>
      </c>
      <c r="N33" s="187">
        <f>'anexa 4 lei'!N33/'anexa 4 lei'!$K$4</f>
        <v>0</v>
      </c>
      <c r="O33" s="555">
        <f>'anexa 4 lei'!O33/'anexa 4 lei'!$K$4</f>
        <v>0</v>
      </c>
    </row>
    <row r="34" spans="1:15" x14ac:dyDescent="0.2">
      <c r="A34" s="826"/>
      <c r="B34" s="828"/>
      <c r="C34" s="763" t="s">
        <v>40</v>
      </c>
      <c r="D34" s="830" t="s">
        <v>339</v>
      </c>
      <c r="E34" s="830"/>
      <c r="F34" s="763">
        <f t="shared" si="0"/>
        <v>25</v>
      </c>
      <c r="G34" s="187">
        <f>'anexa 4 lei'!G34/'anexa 4 lei'!$K$4</f>
        <v>450</v>
      </c>
      <c r="H34" s="187">
        <f>'anexa 4 lei'!H34/'anexa 4 lei'!$K$4</f>
        <v>150</v>
      </c>
      <c r="I34" s="187">
        <f>'anexa 4 lei'!I34/'anexa 4 lei'!$K$4</f>
        <v>100</v>
      </c>
      <c r="J34" s="187">
        <f>'anexa 4 lei'!J34/'anexa 4 lei'!$K$4</f>
        <v>100</v>
      </c>
      <c r="K34" s="555">
        <f>'anexa 4 lei'!K34/'anexa 4 lei'!$K$4</f>
        <v>100</v>
      </c>
      <c r="L34" s="551">
        <f>'anexa 4 lei'!L34/'anexa 4 lei'!$K$4</f>
        <v>903.303</v>
      </c>
      <c r="M34" s="187">
        <f>'anexa 4 lei'!M34/'anexa 4 lei'!$K$4</f>
        <v>1035</v>
      </c>
      <c r="N34" s="187">
        <f>'anexa 4 lei'!N34/'anexa 4 lei'!$K$4</f>
        <v>450</v>
      </c>
      <c r="O34" s="555">
        <f>'anexa 4 lei'!O34/'anexa 4 lei'!$K$4</f>
        <v>0</v>
      </c>
    </row>
    <row r="35" spans="1:15" x14ac:dyDescent="0.2">
      <c r="A35" s="826"/>
      <c r="B35" s="828"/>
      <c r="C35" s="763" t="s">
        <v>42</v>
      </c>
      <c r="D35" s="830" t="s">
        <v>340</v>
      </c>
      <c r="E35" s="830"/>
      <c r="F35" s="763">
        <f t="shared" si="0"/>
        <v>26</v>
      </c>
      <c r="G35" s="187">
        <f>'anexa 4 lei'!G35/'anexa 4 lei'!$K$4</f>
        <v>500.05767400000002</v>
      </c>
      <c r="H35" s="187">
        <f>'anexa 4 lei'!H35/'anexa 4 lei'!$K$4</f>
        <v>150.01280600000001</v>
      </c>
      <c r="I35" s="187">
        <f>'anexa 4 lei'!I35/'anexa 4 lei'!$K$4</f>
        <v>150.01406600000001</v>
      </c>
      <c r="J35" s="187">
        <f>'anexa 4 lei'!J35/'anexa 4 lei'!$K$4</f>
        <v>100.015626</v>
      </c>
      <c r="K35" s="555">
        <f>'anexa 4 lei'!K35/'anexa 4 lei'!$K$4</f>
        <v>100.01517600000001</v>
      </c>
      <c r="L35" s="551">
        <f>'anexa 4 lei'!L35/'anexa 4 lei'!$K$4</f>
        <v>884.74199999999996</v>
      </c>
      <c r="M35" s="187">
        <f>'anexa 4 lei'!M35/'anexa 4 lei'!$K$4</f>
        <v>550.18430999999998</v>
      </c>
      <c r="N35" s="187">
        <f>'anexa 4 lei'!N35/'anexa 4 lei'!$K$4</f>
        <v>500.05767400000002</v>
      </c>
      <c r="O35" s="555">
        <f>'anexa 4 lei'!O35/'anexa 4 lei'!$K$4</f>
        <v>0</v>
      </c>
    </row>
    <row r="36" spans="1:15" x14ac:dyDescent="0.2">
      <c r="A36" s="826"/>
      <c r="B36" s="828"/>
      <c r="C36" s="763" t="s">
        <v>28</v>
      </c>
      <c r="D36" s="830" t="s">
        <v>341</v>
      </c>
      <c r="E36" s="830"/>
      <c r="F36" s="763">
        <f t="shared" si="0"/>
        <v>27</v>
      </c>
      <c r="G36" s="187">
        <f>'anexa 4 lei'!G36/'anexa 4 lei'!$K$4</f>
        <v>0</v>
      </c>
      <c r="H36" s="187">
        <f>'anexa 4 lei'!H36/'anexa 4 lei'!$K$4</f>
        <v>0</v>
      </c>
      <c r="I36" s="187">
        <f>'anexa 4 lei'!I36/'anexa 4 lei'!$K$4</f>
        <v>0</v>
      </c>
      <c r="J36" s="187">
        <f>'anexa 4 lei'!J36/'anexa 4 lei'!$K$4</f>
        <v>0</v>
      </c>
      <c r="K36" s="555">
        <f>'anexa 4 lei'!K36/'anexa 4 lei'!$K$4</f>
        <v>0</v>
      </c>
      <c r="L36" s="551">
        <f>'anexa 4 lei'!L36/'anexa 4 lei'!$K$4</f>
        <v>0</v>
      </c>
      <c r="M36" s="187">
        <f>'anexa 4 lei'!M36/'anexa 4 lei'!$K$4</f>
        <v>0</v>
      </c>
      <c r="N36" s="187">
        <f>'anexa 4 lei'!N36/'anexa 4 lei'!$K$4</f>
        <v>0</v>
      </c>
      <c r="O36" s="555">
        <f>'anexa 4 lei'!O36/'anexa 4 lei'!$K$4</f>
        <v>0</v>
      </c>
    </row>
    <row r="37" spans="1:15" ht="13.5" thickBot="1" x14ac:dyDescent="0.25">
      <c r="A37" s="826"/>
      <c r="B37" s="218" t="s">
        <v>17</v>
      </c>
      <c r="C37" s="766"/>
      <c r="D37" s="833" t="s">
        <v>115</v>
      </c>
      <c r="E37" s="833"/>
      <c r="F37" s="766">
        <f t="shared" si="0"/>
        <v>28</v>
      </c>
      <c r="G37" s="219">
        <f>'anexa 4 lei'!G37/'anexa 4 lei'!$K$4</f>
        <v>0</v>
      </c>
      <c r="H37" s="219">
        <f>'anexa 4 lei'!H37/'anexa 4 lei'!$K$4</f>
        <v>0</v>
      </c>
      <c r="I37" s="219">
        <f>'anexa 4 lei'!I37/'anexa 4 lei'!$K$4</f>
        <v>0</v>
      </c>
      <c r="J37" s="219">
        <f>'anexa 4 lei'!J37/'anexa 4 lei'!$K$4</f>
        <v>0</v>
      </c>
      <c r="K37" s="556">
        <f>'anexa 4 lei'!K37/'anexa 4 lei'!$K$4</f>
        <v>0</v>
      </c>
      <c r="L37" s="552">
        <f>'anexa 4 lei'!L37/'anexa 4 lei'!$K$4</f>
        <v>0</v>
      </c>
      <c r="M37" s="219">
        <f>'anexa 4 lei'!M37/'anexa 4 lei'!$K$4</f>
        <v>0</v>
      </c>
      <c r="N37" s="219">
        <f>'anexa 4 lei'!N37/'anexa 4 lei'!$K$4</f>
        <v>0</v>
      </c>
      <c r="O37" s="556">
        <f>'anexa 4 lei'!O37/'anexa 4 lei'!$K$4</f>
        <v>0</v>
      </c>
    </row>
    <row r="38" spans="1:15" s="157" customFormat="1" ht="15.75" thickBot="1" x14ac:dyDescent="0.25">
      <c r="A38" s="769" t="s">
        <v>23</v>
      </c>
      <c r="B38" s="834" t="s">
        <v>463</v>
      </c>
      <c r="C38" s="835"/>
      <c r="D38" s="835"/>
      <c r="E38" s="835"/>
      <c r="F38" s="760">
        <f t="shared" si="0"/>
        <v>29</v>
      </c>
      <c r="G38" s="220">
        <f>'anexa 4 lei'!G38/'anexa 4 lei'!$K$4</f>
        <v>126930.33485888</v>
      </c>
      <c r="H38" s="220">
        <f>'anexa 4 lei'!H38/'anexa 4 lei'!$K$4</f>
        <v>26828.189174519997</v>
      </c>
      <c r="I38" s="220">
        <f>'anexa 4 lei'!I38/'anexa 4 lei'!$K$4</f>
        <v>30030.229225339994</v>
      </c>
      <c r="J38" s="220">
        <f>'anexa 4 lei'!J38/'anexa 4 lei'!$K$4</f>
        <v>33061.463856080001</v>
      </c>
      <c r="K38" s="557">
        <f>'anexa 4 lei'!K38/'anexa 4 lei'!$K$4</f>
        <v>37010.452602939986</v>
      </c>
      <c r="L38" s="553">
        <f>'anexa 4 lei'!L38/'anexa 4 lei'!$K$4</f>
        <v>108845.47463452</v>
      </c>
      <c r="M38" s="547">
        <f>'anexa 4 lei'!M38/'anexa 4 lei'!$K$4</f>
        <v>119745.05875237469</v>
      </c>
      <c r="N38" s="742">
        <f>'anexa 4 lei'!N38/'anexa 4 lei'!$K$4</f>
        <v>121251.16785888</v>
      </c>
      <c r="O38" s="547">
        <f>'anexa 4 lei'!O38/'anexa 4 lei'!$K$4</f>
        <v>5679.1670000000004</v>
      </c>
    </row>
    <row r="39" spans="1:15" ht="13.5" customHeight="1" x14ac:dyDescent="0.2">
      <c r="A39" s="826"/>
      <c r="B39" s="215" t="s">
        <v>4</v>
      </c>
      <c r="C39" s="836" t="s">
        <v>464</v>
      </c>
      <c r="D39" s="836"/>
      <c r="E39" s="836"/>
      <c r="F39" s="770">
        <f t="shared" si="0"/>
        <v>30</v>
      </c>
      <c r="G39" s="216">
        <f>'anexa 4 lei'!G39/'anexa 4 lei'!$K$4</f>
        <v>125120.33485888</v>
      </c>
      <c r="H39" s="216">
        <f>'anexa 4 lei'!H39/'anexa 4 lei'!$K$4</f>
        <v>26258.189174519997</v>
      </c>
      <c r="I39" s="216">
        <f>'anexa 4 lei'!I39/'anexa 4 lei'!$K$4</f>
        <v>29830.229225339994</v>
      </c>
      <c r="J39" s="216">
        <f>'anexa 4 lei'!J39/'anexa 4 lei'!$K$4</f>
        <v>32306.463856080001</v>
      </c>
      <c r="K39" s="558">
        <f>'anexa 4 lei'!K39/'anexa 4 lei'!$K$4</f>
        <v>36725.452602939993</v>
      </c>
      <c r="L39" s="554">
        <f>'anexa 4 lei'!L39/'anexa 4 lei'!$K$4</f>
        <v>107056.39763451999</v>
      </c>
      <c r="M39" s="216">
        <f>'anexa 4 lei'!M39/'anexa 4 lei'!$K$4</f>
        <v>117343.87975237469</v>
      </c>
      <c r="N39" s="216">
        <f>'anexa 4 lei'!N39/'anexa 4 lei'!$K$4</f>
        <v>119441.16785888</v>
      </c>
      <c r="O39" s="558">
        <f>'anexa 4 lei'!O39/'anexa 4 lei'!$K$4</f>
        <v>5679.1670000000004</v>
      </c>
    </row>
    <row r="40" spans="1:15" ht="22.5" customHeight="1" x14ac:dyDescent="0.2">
      <c r="A40" s="826"/>
      <c r="B40" s="828"/>
      <c r="C40" s="829" t="s">
        <v>473</v>
      </c>
      <c r="D40" s="829"/>
      <c r="E40" s="829"/>
      <c r="F40" s="763">
        <f t="shared" si="0"/>
        <v>31</v>
      </c>
      <c r="G40" s="187">
        <f>'anexa 4 lei'!G40/'anexa 4 lei'!$K$4</f>
        <v>55297.567430000003</v>
      </c>
      <c r="H40" s="187">
        <f>'anexa 4 lei'!H40/'anexa 4 lei'!$K$4</f>
        <v>12560.37384</v>
      </c>
      <c r="I40" s="187">
        <f>'anexa 4 lei'!I40/'anexa 4 lei'!$K$4</f>
        <v>14097.80075</v>
      </c>
      <c r="J40" s="187">
        <f>'anexa 4 lei'!J40/'anexa 4 lei'!$K$4</f>
        <v>14959.815210000001</v>
      </c>
      <c r="K40" s="555">
        <f>'anexa 4 lei'!K40/'anexa 4 lei'!$K$4</f>
        <v>13679.577630000002</v>
      </c>
      <c r="L40" s="551">
        <f>'anexa 4 lei'!L40/'anexa 4 lei'!$K$4</f>
        <v>43553.966</v>
      </c>
      <c r="M40" s="187">
        <f>'anexa 4 lei'!M40/'anexa 4 lei'!$K$4</f>
        <v>49328.134633922506</v>
      </c>
      <c r="N40" s="187">
        <f>'anexa 4 lei'!N40/'anexa 4 lei'!$K$4</f>
        <v>54982.567430000003</v>
      </c>
      <c r="O40" s="555">
        <f>'anexa 4 lei'!O40/'anexa 4 lei'!$K$4</f>
        <v>315</v>
      </c>
    </row>
    <row r="41" spans="1:15" x14ac:dyDescent="0.2">
      <c r="A41" s="826"/>
      <c r="B41" s="828"/>
      <c r="C41" s="207" t="s">
        <v>265</v>
      </c>
      <c r="D41" s="831" t="s">
        <v>342</v>
      </c>
      <c r="E41" s="831"/>
      <c r="F41" s="763">
        <f t="shared" si="0"/>
        <v>32</v>
      </c>
      <c r="G41" s="187">
        <f>'anexa 4 lei'!G41/'anexa 4 lei'!$K$4</f>
        <v>38307.838230000001</v>
      </c>
      <c r="H41" s="187">
        <f>'anexa 4 lei'!H41/'anexa 4 lei'!$K$4</f>
        <v>9146.8590700000004</v>
      </c>
      <c r="I41" s="187">
        <f>'anexa 4 lei'!I41/'anexa 4 lei'!$K$4</f>
        <v>9815.8897500000003</v>
      </c>
      <c r="J41" s="187">
        <f>'anexa 4 lei'!J41/'anexa 4 lei'!$K$4</f>
        <v>10224.123880000001</v>
      </c>
      <c r="K41" s="555">
        <f>'anexa 4 lei'!K41/'anexa 4 lei'!$K$4</f>
        <v>9120.9655300000013</v>
      </c>
      <c r="L41" s="551">
        <f>'anexa 4 lei'!L41/'anexa 4 lei'!$K$4</f>
        <v>32317.9</v>
      </c>
      <c r="M41" s="187">
        <f>'anexa 4 lei'!M41/'anexa 4 lei'!$K$4</f>
        <v>34558.943218804998</v>
      </c>
      <c r="N41" s="187">
        <f>'anexa 4 lei'!N41/'anexa 4 lei'!$K$4</f>
        <v>38307.838230000001</v>
      </c>
      <c r="O41" s="555">
        <f>'anexa 4 lei'!O41/'anexa 4 lei'!$K$4</f>
        <v>0</v>
      </c>
    </row>
    <row r="42" spans="1:15" x14ac:dyDescent="0.2">
      <c r="A42" s="826"/>
      <c r="B42" s="828"/>
      <c r="C42" s="763" t="s">
        <v>27</v>
      </c>
      <c r="D42" s="830" t="s">
        <v>227</v>
      </c>
      <c r="E42" s="830"/>
      <c r="F42" s="763">
        <f t="shared" si="0"/>
        <v>33</v>
      </c>
      <c r="G42" s="187">
        <f>'anexa 4 lei'!G42/'anexa 4 lei'!$K$4</f>
        <v>2081.81531</v>
      </c>
      <c r="H42" s="187">
        <f>'anexa 4 lei'!H42/'anexa 4 lei'!$K$4</f>
        <v>507.61315000000002</v>
      </c>
      <c r="I42" s="187">
        <f>'anexa 4 lei'!I42/'anexa 4 lei'!$K$4</f>
        <v>557.64314999999988</v>
      </c>
      <c r="J42" s="187">
        <f>'anexa 4 lei'!J42/'anexa 4 lei'!$K$4</f>
        <v>457.74315000000001</v>
      </c>
      <c r="K42" s="555">
        <f>'anexa 4 lei'!K42/'anexa 4 lei'!$K$4</f>
        <v>558.81585999999993</v>
      </c>
      <c r="L42" s="551">
        <f>'anexa 4 lei'!L42/'anexa 4 lei'!$K$4</f>
        <v>1639.5050000000001</v>
      </c>
      <c r="M42" s="187">
        <f>'anexa 4 lei'!M42/'anexa 4 lei'!$K$4</f>
        <v>1435.336257985</v>
      </c>
      <c r="N42" s="187">
        <f>'anexa 4 lei'!N42/'anexa 4 lei'!$K$4</f>
        <v>2081.81531</v>
      </c>
      <c r="O42" s="555">
        <f>'anexa 4 lei'!O42/'anexa 4 lei'!$K$4</f>
        <v>0</v>
      </c>
    </row>
    <row r="43" spans="1:15" x14ac:dyDescent="0.2">
      <c r="A43" s="826"/>
      <c r="B43" s="828"/>
      <c r="C43" s="763" t="s">
        <v>38</v>
      </c>
      <c r="D43" s="830" t="s">
        <v>267</v>
      </c>
      <c r="E43" s="830"/>
      <c r="F43" s="763">
        <f t="shared" si="0"/>
        <v>34</v>
      </c>
      <c r="G43" s="187">
        <f>'anexa 4 lei'!G43/'anexa 4 lei'!$K$4</f>
        <v>7312.6566399999992</v>
      </c>
      <c r="H43" s="187">
        <f>'anexa 4 lei'!H43/'anexa 4 lei'!$K$4</f>
        <v>1560.6928799999998</v>
      </c>
      <c r="I43" s="187">
        <f>'anexa 4 lei'!I43/'anexa 4 lei'!$K$4</f>
        <v>2004.4296899999999</v>
      </c>
      <c r="J43" s="187">
        <f>'anexa 4 lei'!J43/'anexa 4 lei'!$K$4</f>
        <v>1987.9983999999999</v>
      </c>
      <c r="K43" s="555">
        <f>'anexa 4 lei'!K43/'anexa 4 lei'!$K$4</f>
        <v>1759.53567</v>
      </c>
      <c r="L43" s="551">
        <f>'anexa 4 lei'!L43/'anexa 4 lei'!$K$4</f>
        <v>6226.8149999999996</v>
      </c>
      <c r="M43" s="187">
        <f>'anexa 4 lei'!M43/'anexa 4 lei'!$K$4</f>
        <v>6848.5126945993998</v>
      </c>
      <c r="N43" s="187">
        <f>'anexa 4 lei'!N43/'anexa 4 lei'!$K$4</f>
        <v>7312.6566399999992</v>
      </c>
      <c r="O43" s="555">
        <f>'anexa 4 lei'!O43/'anexa 4 lei'!$K$4</f>
        <v>0</v>
      </c>
    </row>
    <row r="44" spans="1:15" x14ac:dyDescent="0.2">
      <c r="A44" s="826"/>
      <c r="B44" s="828"/>
      <c r="C44" s="763"/>
      <c r="D44" s="764" t="s">
        <v>76</v>
      </c>
      <c r="E44" s="764" t="s">
        <v>268</v>
      </c>
      <c r="F44" s="763">
        <f t="shared" si="0"/>
        <v>35</v>
      </c>
      <c r="G44" s="187">
        <f>'anexa 4 lei'!G44/'anexa 4 lei'!$K$4</f>
        <v>4604.3399300000001</v>
      </c>
      <c r="H44" s="187">
        <f>'anexa 4 lei'!H44/'anexa 4 lei'!$K$4</f>
        <v>949.34285999999997</v>
      </c>
      <c r="I44" s="187">
        <f>'anexa 4 lei'!I44/'anexa 4 lei'!$K$4</f>
        <v>1283.3311699999999</v>
      </c>
      <c r="J44" s="187">
        <f>'anexa 4 lei'!J44/'anexa 4 lei'!$K$4</f>
        <v>1251.06223</v>
      </c>
      <c r="K44" s="555">
        <f>'anexa 4 lei'!K44/'anexa 4 lei'!$K$4</f>
        <v>1120.60367</v>
      </c>
      <c r="L44" s="551">
        <f>'anexa 4 lei'!L44/'anexa 4 lei'!$K$4</f>
        <v>4216.3760000000002</v>
      </c>
      <c r="M44" s="187">
        <f>'anexa 4 lei'!M44/'anexa 4 lei'!$K$4</f>
        <v>4347.0785226568005</v>
      </c>
      <c r="N44" s="187">
        <f>'anexa 4 lei'!N44/'anexa 4 lei'!$K$4</f>
        <v>4604.3399300000001</v>
      </c>
      <c r="O44" s="555">
        <f>'anexa 4 lei'!O44/'anexa 4 lei'!$K$4</f>
        <v>0</v>
      </c>
    </row>
    <row r="45" spans="1:15" x14ac:dyDescent="0.2">
      <c r="A45" s="826"/>
      <c r="B45" s="828"/>
      <c r="C45" s="763"/>
      <c r="D45" s="764" t="s">
        <v>99</v>
      </c>
      <c r="E45" s="764" t="s">
        <v>269</v>
      </c>
      <c r="F45" s="763">
        <f t="shared" si="0"/>
        <v>36</v>
      </c>
      <c r="G45" s="187">
        <f>'anexa 4 lei'!G45/'anexa 4 lei'!$K$4</f>
        <v>2711.9667100000001</v>
      </c>
      <c r="H45" s="187">
        <f>'anexa 4 lei'!H45/'anexa 4 lei'!$K$4</f>
        <v>612.25002000000006</v>
      </c>
      <c r="I45" s="187">
        <f>'anexa 4 lei'!I45/'anexa 4 lei'!$K$4</f>
        <v>721.99851999999998</v>
      </c>
      <c r="J45" s="187">
        <f>'anexa 4 lei'!J45/'anexa 4 lei'!$K$4</f>
        <v>737.83617000000004</v>
      </c>
      <c r="K45" s="555">
        <f>'anexa 4 lei'!K45/'anexa 4 lei'!$K$4</f>
        <v>639.88199999999995</v>
      </c>
      <c r="L45" s="551">
        <f>'anexa 4 lei'!L45/'anexa 4 lei'!$K$4</f>
        <v>2010.4390000000001</v>
      </c>
      <c r="M45" s="187">
        <f>'anexa 4 lei'!M45/'anexa 4 lei'!$K$4</f>
        <v>2501.4341719426002</v>
      </c>
      <c r="N45" s="187">
        <f>'anexa 4 lei'!N45/'anexa 4 lei'!$K$4</f>
        <v>2711.9667100000001</v>
      </c>
      <c r="O45" s="555">
        <f>'anexa 4 lei'!O45/'anexa 4 lei'!$K$4</f>
        <v>0</v>
      </c>
    </row>
    <row r="46" spans="1:15" ht="13.5" customHeight="1" x14ac:dyDescent="0.2">
      <c r="A46" s="826"/>
      <c r="B46" s="828"/>
      <c r="C46" s="763" t="s">
        <v>40</v>
      </c>
      <c r="D46" s="837" t="s">
        <v>343</v>
      </c>
      <c r="E46" s="837"/>
      <c r="F46" s="763">
        <f t="shared" si="0"/>
        <v>37</v>
      </c>
      <c r="G46" s="187">
        <f>'anexa 4 lei'!G46/'anexa 4 lei'!$K$4</f>
        <v>1655.2910099999999</v>
      </c>
      <c r="H46" s="187">
        <f>'anexa 4 lei'!H46/'anexa 4 lei'!$K$4</f>
        <v>375.02267000000001</v>
      </c>
      <c r="I46" s="187">
        <f>'anexa 4 lei'!I46/'anexa 4 lei'!$K$4</f>
        <v>376.12266999999997</v>
      </c>
      <c r="J46" s="187">
        <f>'anexa 4 lei'!J46/'anexa 4 lei'!$K$4</f>
        <v>425.82266999999996</v>
      </c>
      <c r="K46" s="555">
        <f>'anexa 4 lei'!K46/'anexa 4 lei'!$K$4</f>
        <v>478.32299999999998</v>
      </c>
      <c r="L46" s="551">
        <f>'anexa 4 lei'!L46/'anexa 4 lei'!$K$4</f>
        <v>1486.42</v>
      </c>
      <c r="M46" s="187">
        <f>'anexa 4 lei'!M46/'anexa 4 lei'!$K$4</f>
        <v>1051.5460659937999</v>
      </c>
      <c r="N46" s="187">
        <f>'anexa 4 lei'!N46/'anexa 4 lei'!$K$4</f>
        <v>1655.2910099999999</v>
      </c>
      <c r="O46" s="555">
        <f>'anexa 4 lei'!O46/'anexa 4 lei'!$K$4</f>
        <v>0</v>
      </c>
    </row>
    <row r="47" spans="1:15" x14ac:dyDescent="0.2">
      <c r="A47" s="826"/>
      <c r="B47" s="828"/>
      <c r="C47" s="763" t="s">
        <v>42</v>
      </c>
      <c r="D47" s="830" t="s">
        <v>271</v>
      </c>
      <c r="E47" s="830"/>
      <c r="F47" s="763">
        <f t="shared" si="0"/>
        <v>38</v>
      </c>
      <c r="G47" s="187">
        <f>'anexa 4 lei'!G47/'anexa 4 lei'!$K$4</f>
        <v>27258.075270000001</v>
      </c>
      <c r="H47" s="187">
        <f>'anexa 4 lei'!H47/'anexa 4 lei'!$K$4</f>
        <v>6703.5303700000004</v>
      </c>
      <c r="I47" s="187">
        <f>'anexa 4 lei'!I47/'anexa 4 lei'!$K$4</f>
        <v>6877.6942399999998</v>
      </c>
      <c r="J47" s="187">
        <f>'anexa 4 lei'!J47/'anexa 4 lei'!$K$4</f>
        <v>7352.5596599999999</v>
      </c>
      <c r="K47" s="555">
        <f>'anexa 4 lei'!K47/'anexa 4 lei'!$K$4</f>
        <v>6324.2910000000002</v>
      </c>
      <c r="L47" s="551">
        <f>'anexa 4 lei'!L47/'anexa 4 lei'!$K$4</f>
        <v>22965.16</v>
      </c>
      <c r="M47" s="187">
        <f>'anexa 4 lei'!M47/'anexa 4 lei'!$K$4</f>
        <v>25223.5482002268</v>
      </c>
      <c r="N47" s="187">
        <f>'anexa 4 lei'!N47/'anexa 4 lei'!$K$4</f>
        <v>27258.075270000001</v>
      </c>
      <c r="O47" s="555">
        <f>'anexa 4 lei'!O47/'anexa 4 lei'!$K$4</f>
        <v>0</v>
      </c>
    </row>
    <row r="48" spans="1:15" x14ac:dyDescent="0.2">
      <c r="A48" s="826"/>
      <c r="B48" s="828"/>
      <c r="C48" s="763" t="s">
        <v>28</v>
      </c>
      <c r="D48" s="830" t="s">
        <v>272</v>
      </c>
      <c r="E48" s="830"/>
      <c r="F48" s="763">
        <f t="shared" si="0"/>
        <v>39</v>
      </c>
      <c r="G48" s="187">
        <f>'anexa 4 lei'!G48/'anexa 4 lei'!$K$4</f>
        <v>0</v>
      </c>
      <c r="H48" s="187">
        <f>'anexa 4 lei'!H48/'anexa 4 lei'!$K$4</f>
        <v>0</v>
      </c>
      <c r="I48" s="187">
        <f>'anexa 4 lei'!I48/'anexa 4 lei'!$K$4</f>
        <v>0</v>
      </c>
      <c r="J48" s="187">
        <f>'anexa 4 lei'!J48/'anexa 4 lei'!$K$4</f>
        <v>0</v>
      </c>
      <c r="K48" s="555">
        <f>'anexa 4 lei'!K48/'anexa 4 lei'!$K$4</f>
        <v>0</v>
      </c>
      <c r="L48" s="551">
        <f>'anexa 4 lei'!L48/'anexa 4 lei'!$K$4</f>
        <v>0</v>
      </c>
      <c r="M48" s="187">
        <f>'anexa 4 lei'!M48/'anexa 4 lei'!$K$4</f>
        <v>0</v>
      </c>
      <c r="N48" s="187">
        <f>'anexa 4 lei'!N48/'anexa 4 lei'!$K$4</f>
        <v>0</v>
      </c>
      <c r="O48" s="555">
        <f>'anexa 4 lei'!O48/'anexa 4 lei'!$K$4</f>
        <v>0</v>
      </c>
    </row>
    <row r="49" spans="1:15" ht="13.5" customHeight="1" x14ac:dyDescent="0.2">
      <c r="A49" s="826"/>
      <c r="B49" s="828"/>
      <c r="C49" s="207" t="s">
        <v>273</v>
      </c>
      <c r="D49" s="829" t="s">
        <v>465</v>
      </c>
      <c r="E49" s="829"/>
      <c r="F49" s="763">
        <f t="shared" si="0"/>
        <v>40</v>
      </c>
      <c r="G49" s="187">
        <f>'anexa 4 lei'!G49/'anexa 4 lei'!$K$4</f>
        <v>8114.5745999999999</v>
      </c>
      <c r="H49" s="187">
        <f>'anexa 4 lei'!H49/'anexa 4 lei'!$K$4</f>
        <v>1613.1663700000001</v>
      </c>
      <c r="I49" s="187">
        <f>'anexa 4 lei'!I49/'anexa 4 lei'!$K$4</f>
        <v>2249.4148</v>
      </c>
      <c r="J49" s="187">
        <f>'anexa 4 lei'!J49/'anexa 4 lei'!$K$4</f>
        <v>2211.973</v>
      </c>
      <c r="K49" s="555">
        <f>'anexa 4 lei'!K49/'anexa 4 lei'!$K$4</f>
        <v>2039.1704299999999</v>
      </c>
      <c r="L49" s="551">
        <f>'anexa 4 lei'!L49/'anexa 4 lei'!$K$4</f>
        <v>4478.5129999999999</v>
      </c>
      <c r="M49" s="187">
        <f>'anexa 4 lei'!M49/'anexa 4 lei'!$K$4</f>
        <v>5961.7494235975009</v>
      </c>
      <c r="N49" s="187">
        <f>'anexa 4 lei'!N49/'anexa 4 lei'!$K$4</f>
        <v>8114.5745999999999</v>
      </c>
      <c r="O49" s="555">
        <f>'anexa 4 lei'!O49/'anexa 4 lei'!$K$4</f>
        <v>0</v>
      </c>
    </row>
    <row r="50" spans="1:15" x14ac:dyDescent="0.2">
      <c r="A50" s="826"/>
      <c r="B50" s="828"/>
      <c r="C50" s="763" t="s">
        <v>27</v>
      </c>
      <c r="D50" s="830" t="s">
        <v>274</v>
      </c>
      <c r="E50" s="830"/>
      <c r="F50" s="763">
        <f t="shared" si="0"/>
        <v>41</v>
      </c>
      <c r="G50" s="187">
        <f>'anexa 4 lei'!G50/'anexa 4 lei'!$K$4</f>
        <v>7024.9618799999998</v>
      </c>
      <c r="H50" s="187">
        <f>'anexa 4 lei'!H50/'anexa 4 lei'!$K$4</f>
        <v>1402.01596</v>
      </c>
      <c r="I50" s="187">
        <f>'anexa 4 lei'!I50/'anexa 4 lei'!$K$4</f>
        <v>1985.4239599999999</v>
      </c>
      <c r="J50" s="187">
        <f>'anexa 4 lei'!J50/'anexa 4 lei'!$K$4</f>
        <v>1936.47396</v>
      </c>
      <c r="K50" s="555">
        <f>'anexa 4 lei'!K50/'anexa 4 lei'!$K$4</f>
        <v>1701.048</v>
      </c>
      <c r="L50" s="551">
        <f>'anexa 4 lei'!L50/'anexa 4 lei'!$K$4</f>
        <v>3837.9659999999999</v>
      </c>
      <c r="M50" s="187">
        <f>'anexa 4 lei'!M50/'anexa 4 lei'!$K$4</f>
        <v>5048.2127691079004</v>
      </c>
      <c r="N50" s="187">
        <f>'anexa 4 lei'!N50/'anexa 4 lei'!$K$4</f>
        <v>7024.9618799999998</v>
      </c>
      <c r="O50" s="555">
        <f>'anexa 4 lei'!O50/'anexa 4 lei'!$K$4</f>
        <v>0</v>
      </c>
    </row>
    <row r="51" spans="1:15" ht="13.5" thickBot="1" x14ac:dyDescent="0.25">
      <c r="A51" s="826"/>
      <c r="B51" s="828"/>
      <c r="C51" s="763" t="s">
        <v>38</v>
      </c>
      <c r="D51" s="830" t="s">
        <v>430</v>
      </c>
      <c r="E51" s="830"/>
      <c r="F51" s="763">
        <f t="shared" si="0"/>
        <v>42</v>
      </c>
      <c r="G51" s="187">
        <f>'anexa 4 lei'!G51/'anexa 4 lei'!$K$4</f>
        <v>711.89343000000008</v>
      </c>
      <c r="H51" s="187">
        <f>'anexa 4 lei'!H51/'anexa 4 lei'!$K$4</f>
        <v>126.852</v>
      </c>
      <c r="I51" s="187">
        <f>'anexa 4 lei'!I51/'anexa 4 lei'!$K$4</f>
        <v>178.34200000000001</v>
      </c>
      <c r="J51" s="187">
        <f>'anexa 4 lei'!J51/'anexa 4 lei'!$K$4</f>
        <v>178.35</v>
      </c>
      <c r="K51" s="555">
        <f>'anexa 4 lei'!K51/'anexa 4 lei'!$K$4</f>
        <v>228.34942999999998</v>
      </c>
      <c r="L51" s="551">
        <f>'anexa 4 lei'!L51/'anexa 4 lei'!$K$4</f>
        <v>431.87200000000001</v>
      </c>
      <c r="M51" s="187">
        <f>'anexa 4 lei'!M51/'anexa 4 lei'!$K$4</f>
        <v>638.38193707820005</v>
      </c>
      <c r="N51" s="187">
        <f>'anexa 4 lei'!N51/'anexa 4 lei'!$K$4</f>
        <v>711.89343000000008</v>
      </c>
      <c r="O51" s="555">
        <f>'anexa 4 lei'!O51/'anexa 4 lei'!$K$4</f>
        <v>0</v>
      </c>
    </row>
    <row r="52" spans="1:15" x14ac:dyDescent="0.2">
      <c r="A52" s="832"/>
      <c r="B52" s="828"/>
      <c r="C52" s="763"/>
      <c r="D52" s="763" t="s">
        <v>76</v>
      </c>
      <c r="E52" s="761" t="s">
        <v>157</v>
      </c>
      <c r="F52" s="763">
        <f t="shared" si="0"/>
        <v>43</v>
      </c>
      <c r="G52" s="187">
        <f>'anexa 4 lei'!G52/'anexa 4 lei'!$K$4</f>
        <v>99.913429999999991</v>
      </c>
      <c r="H52" s="187">
        <f>'anexa 4 lei'!H52/'anexa 4 lei'!$K$4</f>
        <v>24.981999999999999</v>
      </c>
      <c r="I52" s="187">
        <f>'anexa 4 lei'!I52/'anexa 4 lei'!$K$4</f>
        <v>24.972000000000001</v>
      </c>
      <c r="J52" s="187">
        <f>'anexa 4 lei'!J52/'anexa 4 lei'!$K$4</f>
        <v>24.98</v>
      </c>
      <c r="K52" s="555">
        <f>'anexa 4 lei'!K52/'anexa 4 lei'!$K$4</f>
        <v>24.979430000000001</v>
      </c>
      <c r="L52" s="551">
        <f>'anexa 4 lei'!L52/'anexa 4 lei'!$K$4</f>
        <v>15.884</v>
      </c>
      <c r="M52" s="187">
        <f>'anexa 4 lei'!M52/'anexa 4 lei'!$K$4</f>
        <v>212.39595199999999</v>
      </c>
      <c r="N52" s="187">
        <f>'anexa 4 lei'!N52/'anexa 4 lei'!$K$4</f>
        <v>99.913429999999991</v>
      </c>
      <c r="O52" s="555">
        <f>'anexa 4 lei'!O52/'anexa 4 lei'!$K$4</f>
        <v>0</v>
      </c>
    </row>
    <row r="53" spans="1:15" x14ac:dyDescent="0.2">
      <c r="A53" s="826"/>
      <c r="B53" s="828"/>
      <c r="C53" s="763"/>
      <c r="D53" s="763" t="s">
        <v>99</v>
      </c>
      <c r="E53" s="764" t="s">
        <v>158</v>
      </c>
      <c r="F53" s="763">
        <f t="shared" si="0"/>
        <v>44</v>
      </c>
      <c r="G53" s="187">
        <f>'anexa 4 lei'!G53/'anexa 4 lei'!$K$4</f>
        <v>605.48</v>
      </c>
      <c r="H53" s="187">
        <f>'anexa 4 lei'!H53/'anexa 4 lei'!$K$4</f>
        <v>101.37</v>
      </c>
      <c r="I53" s="187">
        <f>'anexa 4 lei'!I53/'anexa 4 lei'!$K$4</f>
        <v>151.37</v>
      </c>
      <c r="J53" s="187">
        <f>'anexa 4 lei'!J53/'anexa 4 lei'!$K$4</f>
        <v>151.37</v>
      </c>
      <c r="K53" s="555">
        <f>'anexa 4 lei'!K53/'anexa 4 lei'!$K$4</f>
        <v>201.37</v>
      </c>
      <c r="L53" s="551">
        <f>'anexa 4 lei'!L53/'anexa 4 lei'!$K$4</f>
        <v>415.988</v>
      </c>
      <c r="M53" s="187">
        <f>'anexa 4 lei'!M53/'anexa 4 lei'!$K$4</f>
        <v>409.18598507820002</v>
      </c>
      <c r="N53" s="187">
        <f>'anexa 4 lei'!N53/'anexa 4 lei'!$K$4</f>
        <v>605.48</v>
      </c>
      <c r="O53" s="555">
        <f>'anexa 4 lei'!O53/'anexa 4 lei'!$K$4</f>
        <v>0</v>
      </c>
    </row>
    <row r="54" spans="1:15" x14ac:dyDescent="0.2">
      <c r="A54" s="826"/>
      <c r="B54" s="828"/>
      <c r="C54" s="763" t="s">
        <v>40</v>
      </c>
      <c r="D54" s="830" t="s">
        <v>159</v>
      </c>
      <c r="E54" s="830"/>
      <c r="F54" s="763">
        <f t="shared" si="0"/>
        <v>45</v>
      </c>
      <c r="G54" s="187">
        <f>'anexa 4 lei'!G54/'anexa 4 lei'!$K$4</f>
        <v>305.78140999999999</v>
      </c>
      <c r="H54" s="187">
        <f>'anexa 4 lei'!H54/'anexa 4 lei'!$K$4</f>
        <v>71.432450000000003</v>
      </c>
      <c r="I54" s="187">
        <f>'anexa 4 lei'!I54/'anexa 4 lei'!$K$4</f>
        <v>71.432880000000011</v>
      </c>
      <c r="J54" s="187">
        <f>'anexa 4 lei'!J54/'anexa 4 lei'!$K$4</f>
        <v>81.433080000000004</v>
      </c>
      <c r="K54" s="555">
        <f>'anexa 4 lei'!K54/'anexa 4 lei'!$K$4</f>
        <v>81.483000000000004</v>
      </c>
      <c r="L54" s="551">
        <f>'anexa 4 lei'!L54/'anexa 4 lei'!$K$4</f>
        <v>208.67500000000001</v>
      </c>
      <c r="M54" s="187">
        <f>'anexa 4 lei'!M54/'anexa 4 lei'!$K$4</f>
        <v>275.15471741139999</v>
      </c>
      <c r="N54" s="187">
        <f>'anexa 4 lei'!N54/'anexa 4 lei'!$K$4</f>
        <v>305.78140999999999</v>
      </c>
      <c r="O54" s="555">
        <f>'anexa 4 lei'!O54/'anexa 4 lei'!$K$4</f>
        <v>0</v>
      </c>
    </row>
    <row r="55" spans="1:15" ht="37.5" customHeight="1" x14ac:dyDescent="0.2">
      <c r="A55" s="826"/>
      <c r="B55" s="828"/>
      <c r="C55" s="207" t="s">
        <v>160</v>
      </c>
      <c r="D55" s="829" t="s">
        <v>466</v>
      </c>
      <c r="E55" s="829"/>
      <c r="F55" s="763">
        <f t="shared" si="0"/>
        <v>46</v>
      </c>
      <c r="G55" s="187">
        <f>'anexa 4 lei'!G55/'anexa 4 lei'!$K$4</f>
        <v>8876.0046000000002</v>
      </c>
      <c r="H55" s="187">
        <f>'anexa 4 lei'!H55/'anexa 4 lei'!$K$4</f>
        <v>1800.3483999999999</v>
      </c>
      <c r="I55" s="187">
        <f>'anexa 4 lei'!I55/'anexa 4 lei'!$K$4</f>
        <v>2032.4962</v>
      </c>
      <c r="J55" s="187">
        <f>'anexa 4 lei'!J55/'anexa 4 lei'!$K$4</f>
        <v>2523.7183300000002</v>
      </c>
      <c r="K55" s="555">
        <f>'anexa 4 lei'!K55/'anexa 4 lei'!$K$4</f>
        <v>2519.4416699999997</v>
      </c>
      <c r="L55" s="551">
        <f>'anexa 4 lei'!L55/'anexa 4 lei'!$K$4</f>
        <v>6757.5529999999999</v>
      </c>
      <c r="M55" s="187">
        <f>'anexa 4 lei'!M55/'anexa 4 lei'!$K$4</f>
        <v>8807.4419915199996</v>
      </c>
      <c r="N55" s="187">
        <f>'anexa 4 lei'!N55/'anexa 4 lei'!$K$4</f>
        <v>8561.0046000000002</v>
      </c>
      <c r="O55" s="555">
        <f>'anexa 4 lei'!O55/'anexa 4 lei'!$K$4</f>
        <v>315</v>
      </c>
    </row>
    <row r="56" spans="1:15" x14ac:dyDescent="0.2">
      <c r="A56" s="826"/>
      <c r="B56" s="828"/>
      <c r="C56" s="763" t="s">
        <v>27</v>
      </c>
      <c r="D56" s="830" t="s">
        <v>161</v>
      </c>
      <c r="E56" s="830"/>
      <c r="F56" s="763">
        <f t="shared" si="0"/>
        <v>47</v>
      </c>
      <c r="G56" s="187">
        <f>'anexa 4 lei'!G56/'anexa 4 lei'!$K$4</f>
        <v>12</v>
      </c>
      <c r="H56" s="187">
        <f>'anexa 4 lei'!H56/'anexa 4 lei'!$K$4</f>
        <v>3</v>
      </c>
      <c r="I56" s="187">
        <f>'anexa 4 lei'!I56/'anexa 4 lei'!$K$4</f>
        <v>3</v>
      </c>
      <c r="J56" s="187">
        <f>'anexa 4 lei'!J56/'anexa 4 lei'!$K$4</f>
        <v>3</v>
      </c>
      <c r="K56" s="555">
        <f>'anexa 4 lei'!K56/'anexa 4 lei'!$K$4</f>
        <v>3</v>
      </c>
      <c r="L56" s="551">
        <f>'anexa 4 lei'!L56/'anexa 4 lei'!$K$4</f>
        <v>4.5860000000000003</v>
      </c>
      <c r="M56" s="187">
        <f>'anexa 4 lei'!M56/'anexa 4 lei'!$K$4</f>
        <v>6</v>
      </c>
      <c r="N56" s="187">
        <f>'anexa 4 lei'!N56/'anexa 4 lei'!$K$4</f>
        <v>12</v>
      </c>
      <c r="O56" s="555">
        <f>'anexa 4 lei'!O56/'anexa 4 lei'!$K$4</f>
        <v>0</v>
      </c>
    </row>
    <row r="57" spans="1:15" x14ac:dyDescent="0.2">
      <c r="A57" s="826"/>
      <c r="B57" s="828"/>
      <c r="C57" s="763" t="s">
        <v>38</v>
      </c>
      <c r="D57" s="830" t="s">
        <v>162</v>
      </c>
      <c r="E57" s="830"/>
      <c r="F57" s="763">
        <f t="shared" si="0"/>
        <v>48</v>
      </c>
      <c r="G57" s="187">
        <f>'anexa 4 lei'!G57/'anexa 4 lei'!$K$4</f>
        <v>28</v>
      </c>
      <c r="H57" s="187">
        <f>'anexa 4 lei'!H57/'anexa 4 lei'!$K$4</f>
        <v>7</v>
      </c>
      <c r="I57" s="187">
        <f>'anexa 4 lei'!I57/'anexa 4 lei'!$K$4</f>
        <v>7</v>
      </c>
      <c r="J57" s="187">
        <f>'anexa 4 lei'!J57/'anexa 4 lei'!$K$4</f>
        <v>7</v>
      </c>
      <c r="K57" s="555">
        <f>'anexa 4 lei'!K57/'anexa 4 lei'!$K$4</f>
        <v>7</v>
      </c>
      <c r="L57" s="551">
        <f>'anexa 4 lei'!L57/'anexa 4 lei'!$K$4</f>
        <v>19.46</v>
      </c>
      <c r="M57" s="187">
        <f>'anexa 4 lei'!M57/'anexa 4 lei'!$K$4</f>
        <v>420</v>
      </c>
      <c r="N57" s="187">
        <f>'anexa 4 lei'!N57/'anexa 4 lei'!$K$4</f>
        <v>28</v>
      </c>
      <c r="O57" s="555">
        <f>'anexa 4 lei'!O57/'anexa 4 lei'!$K$4</f>
        <v>0</v>
      </c>
    </row>
    <row r="58" spans="1:15" x14ac:dyDescent="0.2">
      <c r="A58" s="826"/>
      <c r="B58" s="828"/>
      <c r="C58" s="763"/>
      <c r="D58" s="830" t="s">
        <v>381</v>
      </c>
      <c r="E58" s="830"/>
      <c r="F58" s="763">
        <f t="shared" si="0"/>
        <v>49</v>
      </c>
      <c r="G58" s="187">
        <f>'anexa 4 lei'!G58/'anexa 4 lei'!$K$4</f>
        <v>8</v>
      </c>
      <c r="H58" s="187">
        <f>'anexa 4 lei'!H58/'anexa 4 lei'!$K$4</f>
        <v>2</v>
      </c>
      <c r="I58" s="187">
        <f>'anexa 4 lei'!I58/'anexa 4 lei'!$K$4</f>
        <v>2</v>
      </c>
      <c r="J58" s="187">
        <f>'anexa 4 lei'!J58/'anexa 4 lei'!$K$4</f>
        <v>2</v>
      </c>
      <c r="K58" s="555">
        <f>'anexa 4 lei'!K58/'anexa 4 lei'!$K$4</f>
        <v>2</v>
      </c>
      <c r="L58" s="551">
        <f>'anexa 4 lei'!L58/'anexa 4 lei'!$K$4</f>
        <v>0</v>
      </c>
      <c r="M58" s="187">
        <f>'anexa 4 lei'!M58/'anexa 4 lei'!$K$4</f>
        <v>400</v>
      </c>
      <c r="N58" s="187">
        <f>'anexa 4 lei'!N58/'anexa 4 lei'!$K$4</f>
        <v>8</v>
      </c>
      <c r="O58" s="555">
        <f>'anexa 4 lei'!O58/'anexa 4 lei'!$K$4</f>
        <v>0</v>
      </c>
    </row>
    <row r="59" spans="1:15" ht="30.75" customHeight="1" x14ac:dyDescent="0.2">
      <c r="A59" s="826"/>
      <c r="B59" s="828"/>
      <c r="C59" s="763" t="s">
        <v>40</v>
      </c>
      <c r="D59" s="829" t="s">
        <v>432</v>
      </c>
      <c r="E59" s="829"/>
      <c r="F59" s="763">
        <f t="shared" si="0"/>
        <v>50</v>
      </c>
      <c r="G59" s="187">
        <f>'anexa 4 lei'!G59/'anexa 4 lei'!$K$4</f>
        <v>465</v>
      </c>
      <c r="H59" s="187">
        <f>'anexa 4 lei'!H59/'anexa 4 lei'!$K$4</f>
        <v>80</v>
      </c>
      <c r="I59" s="187">
        <f>'anexa 4 lei'!I59/'anexa 4 lei'!$K$4</f>
        <v>100</v>
      </c>
      <c r="J59" s="187">
        <f>'anexa 4 lei'!J59/'anexa 4 lei'!$K$4</f>
        <v>105</v>
      </c>
      <c r="K59" s="555">
        <f>'anexa 4 lei'!K59/'anexa 4 lei'!$K$4</f>
        <v>180</v>
      </c>
      <c r="L59" s="551">
        <f>'anexa 4 lei'!L59/'anexa 4 lei'!$K$4</f>
        <v>383.34399999999999</v>
      </c>
      <c r="M59" s="187">
        <f>'anexa 4 lei'!M59/'anexa 4 lei'!$K$4</f>
        <v>460</v>
      </c>
      <c r="N59" s="187">
        <f>'anexa 4 lei'!N59/'anexa 4 lei'!$K$4</f>
        <v>465</v>
      </c>
      <c r="O59" s="555">
        <f>'anexa 4 lei'!O59/'anexa 4 lei'!$K$4</f>
        <v>0</v>
      </c>
    </row>
    <row r="60" spans="1:15" x14ac:dyDescent="0.2">
      <c r="A60" s="826"/>
      <c r="B60" s="828"/>
      <c r="C60" s="763"/>
      <c r="D60" s="763" t="s">
        <v>278</v>
      </c>
      <c r="E60" s="764" t="s">
        <v>163</v>
      </c>
      <c r="F60" s="763">
        <f t="shared" si="0"/>
        <v>51</v>
      </c>
      <c r="G60" s="187">
        <f>'anexa 4 lei'!G60/'anexa 4 lei'!$K$4</f>
        <v>155</v>
      </c>
      <c r="H60" s="187">
        <f>'anexa 4 lei'!H60/'anexa 4 lei'!$K$4</f>
        <v>30</v>
      </c>
      <c r="I60" s="187">
        <f>'anexa 4 lei'!I60/'anexa 4 lei'!$K$4</f>
        <v>40</v>
      </c>
      <c r="J60" s="187">
        <f>'anexa 4 lei'!J60/'anexa 4 lei'!$K$4</f>
        <v>35</v>
      </c>
      <c r="K60" s="555">
        <f>'anexa 4 lei'!K60/'anexa 4 lei'!$K$4</f>
        <v>50</v>
      </c>
      <c r="L60" s="551">
        <f>'anexa 4 lei'!L60/'anexa 4 lei'!$K$4</f>
        <v>85.822999999999993</v>
      </c>
      <c r="M60" s="187">
        <f>'anexa 4 lei'!M60/'anexa 4 lei'!$K$4</f>
        <v>160</v>
      </c>
      <c r="N60" s="187">
        <f>'anexa 4 lei'!N60/'anexa 4 lei'!$K$4</f>
        <v>155</v>
      </c>
      <c r="O60" s="555">
        <f>'anexa 4 lei'!O60/'anexa 4 lei'!$K$4</f>
        <v>0</v>
      </c>
    </row>
    <row r="61" spans="1:15" ht="25.5" x14ac:dyDescent="0.2">
      <c r="A61" s="826"/>
      <c r="B61" s="828"/>
      <c r="C61" s="763"/>
      <c r="D61" s="763"/>
      <c r="E61" s="761" t="s">
        <v>164</v>
      </c>
      <c r="F61" s="763">
        <f t="shared" si="0"/>
        <v>52</v>
      </c>
      <c r="G61" s="187">
        <f>'anexa 4 lei'!G61/'anexa 4 lei'!$K$4</f>
        <v>0</v>
      </c>
      <c r="H61" s="187">
        <f>'anexa 4 lei'!H61/'anexa 4 lei'!$K$4</f>
        <v>0</v>
      </c>
      <c r="I61" s="187">
        <f>'anexa 4 lei'!I61/'anexa 4 lei'!$K$4</f>
        <v>0</v>
      </c>
      <c r="J61" s="187">
        <f>'anexa 4 lei'!J61/'anexa 4 lei'!$K$4</f>
        <v>0</v>
      </c>
      <c r="K61" s="555">
        <f>'anexa 4 lei'!K61/'anexa 4 lei'!$K$4</f>
        <v>0</v>
      </c>
      <c r="L61" s="551">
        <f>'anexa 4 lei'!L61/'anexa 4 lei'!$K$4</f>
        <v>0</v>
      </c>
      <c r="M61" s="187">
        <f>'anexa 4 lei'!M61/'anexa 4 lei'!$K$4</f>
        <v>0</v>
      </c>
      <c r="N61" s="187">
        <f>'anexa 4 lei'!N61/'anexa 4 lei'!$K$4</f>
        <v>0</v>
      </c>
      <c r="O61" s="555">
        <f>'anexa 4 lei'!O61/'anexa 4 lei'!$K$4</f>
        <v>0</v>
      </c>
    </row>
    <row r="62" spans="1:15" x14ac:dyDescent="0.2">
      <c r="A62" s="826"/>
      <c r="B62" s="828"/>
      <c r="C62" s="763"/>
      <c r="D62" s="763" t="s">
        <v>165</v>
      </c>
      <c r="E62" s="764" t="s">
        <v>166</v>
      </c>
      <c r="F62" s="763">
        <f t="shared" si="0"/>
        <v>53</v>
      </c>
      <c r="G62" s="187">
        <f>'anexa 4 lei'!G62/'anexa 4 lei'!$K$4</f>
        <v>310</v>
      </c>
      <c r="H62" s="187">
        <f>'anexa 4 lei'!H62/'anexa 4 lei'!$K$4</f>
        <v>50</v>
      </c>
      <c r="I62" s="187">
        <f>'anexa 4 lei'!I62/'anexa 4 lei'!$K$4</f>
        <v>60</v>
      </c>
      <c r="J62" s="187">
        <f>'anexa 4 lei'!J62/'anexa 4 lei'!$K$4</f>
        <v>70</v>
      </c>
      <c r="K62" s="555">
        <f>'anexa 4 lei'!K62/'anexa 4 lei'!$K$4</f>
        <v>130</v>
      </c>
      <c r="L62" s="551">
        <f>'anexa 4 lei'!L62/'anexa 4 lei'!$K$4</f>
        <v>297.52100000000002</v>
      </c>
      <c r="M62" s="187">
        <f>'anexa 4 lei'!M62/'anexa 4 lei'!$K$4</f>
        <v>300</v>
      </c>
      <c r="N62" s="187">
        <f>'anexa 4 lei'!N62/'anexa 4 lei'!$K$4</f>
        <v>310</v>
      </c>
      <c r="O62" s="555">
        <f>'anexa 4 lei'!O62/'anexa 4 lei'!$K$4</f>
        <v>0</v>
      </c>
    </row>
    <row r="63" spans="1:15" ht="25.5" x14ac:dyDescent="0.2">
      <c r="A63" s="826"/>
      <c r="B63" s="828"/>
      <c r="C63" s="763"/>
      <c r="D63" s="763"/>
      <c r="E63" s="761" t="s">
        <v>167</v>
      </c>
      <c r="F63" s="763">
        <f t="shared" si="0"/>
        <v>54</v>
      </c>
      <c r="G63" s="187">
        <f>'anexa 4 lei'!G63/'anexa 4 lei'!$K$4</f>
        <v>0</v>
      </c>
      <c r="H63" s="187">
        <f>'anexa 4 lei'!H63/'anexa 4 lei'!$K$4</f>
        <v>0</v>
      </c>
      <c r="I63" s="187">
        <f>'anexa 4 lei'!I63/'anexa 4 lei'!$K$4</f>
        <v>0</v>
      </c>
      <c r="J63" s="187">
        <f>'anexa 4 lei'!J63/'anexa 4 lei'!$K$4</f>
        <v>0</v>
      </c>
      <c r="K63" s="555">
        <f>'anexa 4 lei'!K63/'anexa 4 lei'!$K$4</f>
        <v>0</v>
      </c>
      <c r="L63" s="551">
        <f>'anexa 4 lei'!L63/'anexa 4 lei'!$K$4</f>
        <v>0</v>
      </c>
      <c r="M63" s="187">
        <f>'anexa 4 lei'!M63/'anexa 4 lei'!$K$4</f>
        <v>0</v>
      </c>
      <c r="N63" s="187">
        <f>'anexa 4 lei'!N63/'anexa 4 lei'!$K$4</f>
        <v>0</v>
      </c>
      <c r="O63" s="555">
        <f>'anexa 4 lei'!O63/'anexa 4 lei'!$K$4</f>
        <v>0</v>
      </c>
    </row>
    <row r="64" spans="1:15" ht="38.25" x14ac:dyDescent="0.2">
      <c r="A64" s="826"/>
      <c r="B64" s="828"/>
      <c r="C64" s="763"/>
      <c r="D64" s="763"/>
      <c r="E64" s="761" t="s">
        <v>168</v>
      </c>
      <c r="F64" s="763">
        <f t="shared" si="0"/>
        <v>55</v>
      </c>
      <c r="G64" s="187">
        <f>'anexa 4 lei'!G64/'anexa 4 lei'!$K$4</f>
        <v>0</v>
      </c>
      <c r="H64" s="187">
        <f>'anexa 4 lei'!H64/'anexa 4 lei'!$K$4</f>
        <v>0</v>
      </c>
      <c r="I64" s="187">
        <f>'anexa 4 lei'!I64/'anexa 4 lei'!$K$4</f>
        <v>0</v>
      </c>
      <c r="J64" s="187">
        <f>'anexa 4 lei'!J64/'anexa 4 lei'!$K$4</f>
        <v>0</v>
      </c>
      <c r="K64" s="555">
        <f>'anexa 4 lei'!K64/'anexa 4 lei'!$K$4</f>
        <v>0</v>
      </c>
      <c r="L64" s="551">
        <f>'anexa 4 lei'!L64/'anexa 4 lei'!$K$4</f>
        <v>0</v>
      </c>
      <c r="M64" s="187">
        <f>'anexa 4 lei'!M64/'anexa 4 lei'!$K$4</f>
        <v>0</v>
      </c>
      <c r="N64" s="187">
        <f>'anexa 4 lei'!N64/'anexa 4 lei'!$K$4</f>
        <v>0</v>
      </c>
      <c r="O64" s="555">
        <f>'anexa 4 lei'!O64/'anexa 4 lei'!$K$4</f>
        <v>0</v>
      </c>
    </row>
    <row r="65" spans="1:15" x14ac:dyDescent="0.2">
      <c r="A65" s="826"/>
      <c r="B65" s="828"/>
      <c r="C65" s="763"/>
      <c r="D65" s="763"/>
      <c r="E65" s="764" t="s">
        <v>169</v>
      </c>
      <c r="F65" s="763">
        <f t="shared" si="0"/>
        <v>56</v>
      </c>
      <c r="G65" s="187">
        <f>'anexa 4 lei'!G65/'anexa 4 lei'!$K$4</f>
        <v>0</v>
      </c>
      <c r="H65" s="187">
        <f>'anexa 4 lei'!H65/'anexa 4 lei'!$K$4</f>
        <v>0</v>
      </c>
      <c r="I65" s="187">
        <f>'anexa 4 lei'!I65/'anexa 4 lei'!$K$4</f>
        <v>0</v>
      </c>
      <c r="J65" s="187">
        <f>'anexa 4 lei'!J65/'anexa 4 lei'!$K$4</f>
        <v>0</v>
      </c>
      <c r="K65" s="555">
        <f>'anexa 4 lei'!K65/'anexa 4 lei'!$K$4</f>
        <v>0</v>
      </c>
      <c r="L65" s="551">
        <f>'anexa 4 lei'!L65/'anexa 4 lei'!$K$4</f>
        <v>0</v>
      </c>
      <c r="M65" s="187">
        <f>'anexa 4 lei'!M65/'anexa 4 lei'!$K$4</f>
        <v>0</v>
      </c>
      <c r="N65" s="187">
        <f>'anexa 4 lei'!N65/'anexa 4 lei'!$K$4</f>
        <v>0</v>
      </c>
      <c r="O65" s="555">
        <f>'anexa 4 lei'!O65/'anexa 4 lei'!$K$4</f>
        <v>0</v>
      </c>
    </row>
    <row r="66" spans="1:15" ht="27.75" customHeight="1" x14ac:dyDescent="0.2">
      <c r="A66" s="826"/>
      <c r="B66" s="828"/>
      <c r="C66" s="763" t="s">
        <v>42</v>
      </c>
      <c r="D66" s="829" t="s">
        <v>433</v>
      </c>
      <c r="E66" s="829"/>
      <c r="F66" s="763">
        <f t="shared" si="0"/>
        <v>57</v>
      </c>
      <c r="G66" s="187">
        <f>'anexa 4 lei'!G66/'anexa 4 lei'!$K$4</f>
        <v>375</v>
      </c>
      <c r="H66" s="187">
        <f>'anexa 4 lei'!H66/'anexa 4 lei'!$K$4</f>
        <v>85</v>
      </c>
      <c r="I66" s="187">
        <f>'anexa 4 lei'!I66/'anexa 4 lei'!$K$4</f>
        <v>93</v>
      </c>
      <c r="J66" s="187">
        <f>'anexa 4 lei'!J66/'anexa 4 lei'!$K$4</f>
        <v>103</v>
      </c>
      <c r="K66" s="555">
        <f>'anexa 4 lei'!K66/'anexa 4 lei'!$K$4</f>
        <v>94</v>
      </c>
      <c r="L66" s="551">
        <f>'anexa 4 lei'!L66/'anexa 4 lei'!$K$4</f>
        <v>207.898</v>
      </c>
      <c r="M66" s="187">
        <f>'anexa 4 lei'!M66/'anexa 4 lei'!$K$4</f>
        <v>381</v>
      </c>
      <c r="N66" s="187">
        <f>'anexa 4 lei'!N66/'anexa 4 lei'!$K$4</f>
        <v>375</v>
      </c>
      <c r="O66" s="555">
        <f>'anexa 4 lei'!O66/'anexa 4 lei'!$K$4</f>
        <v>0</v>
      </c>
    </row>
    <row r="67" spans="1:15" x14ac:dyDescent="0.2">
      <c r="A67" s="826"/>
      <c r="B67" s="828"/>
      <c r="C67" s="763"/>
      <c r="D67" s="763" t="s">
        <v>170</v>
      </c>
      <c r="E67" s="764" t="s">
        <v>236</v>
      </c>
      <c r="F67" s="763">
        <f t="shared" si="0"/>
        <v>58</v>
      </c>
      <c r="G67" s="187">
        <f>'anexa 4 lei'!G67/'anexa 4 lei'!$K$4</f>
        <v>200</v>
      </c>
      <c r="H67" s="187">
        <f>'anexa 4 lei'!H67/'anexa 4 lei'!$K$4</f>
        <v>50</v>
      </c>
      <c r="I67" s="187">
        <f>'anexa 4 lei'!I67/'anexa 4 lei'!$K$4</f>
        <v>50</v>
      </c>
      <c r="J67" s="187">
        <f>'anexa 4 lei'!J67/'anexa 4 lei'!$K$4</f>
        <v>50</v>
      </c>
      <c r="K67" s="555">
        <f>'anexa 4 lei'!K67/'anexa 4 lei'!$K$4</f>
        <v>50</v>
      </c>
      <c r="L67" s="551">
        <f>'anexa 4 lei'!L67/'anexa 4 lei'!$K$4</f>
        <v>102.8</v>
      </c>
      <c r="M67" s="187">
        <f>'anexa 4 lei'!M67/'anexa 4 lei'!$K$4</f>
        <v>200</v>
      </c>
      <c r="N67" s="187">
        <f>'anexa 4 lei'!N67/'anexa 4 lei'!$K$4</f>
        <v>200</v>
      </c>
      <c r="O67" s="555">
        <f>'anexa 4 lei'!O67/'anexa 4 lei'!$K$4</f>
        <v>0</v>
      </c>
    </row>
    <row r="68" spans="1:15" x14ac:dyDescent="0.2">
      <c r="A68" s="826"/>
      <c r="B68" s="828"/>
      <c r="C68" s="763"/>
      <c r="D68" s="763" t="s">
        <v>171</v>
      </c>
      <c r="E68" s="764" t="s">
        <v>382</v>
      </c>
      <c r="F68" s="763">
        <f t="shared" si="0"/>
        <v>59</v>
      </c>
      <c r="G68" s="187">
        <f>'anexa 4 lei'!G68/'anexa 4 lei'!$K$4</f>
        <v>25</v>
      </c>
      <c r="H68" s="187">
        <f>'anexa 4 lei'!H68/'anexa 4 lei'!$K$4</f>
        <v>5</v>
      </c>
      <c r="I68" s="187">
        <f>'anexa 4 lei'!I68/'anexa 4 lei'!$K$4</f>
        <v>8</v>
      </c>
      <c r="J68" s="187">
        <f>'anexa 4 lei'!J68/'anexa 4 lei'!$K$4</f>
        <v>5</v>
      </c>
      <c r="K68" s="555">
        <f>'anexa 4 lei'!K68/'anexa 4 lei'!$K$4</f>
        <v>7</v>
      </c>
      <c r="L68" s="551">
        <f>'anexa 4 lei'!L68/'anexa 4 lei'!$K$4</f>
        <v>12.8</v>
      </c>
      <c r="M68" s="187">
        <f>'anexa 4 lei'!M68/'anexa 4 lei'!$K$4</f>
        <v>20</v>
      </c>
      <c r="N68" s="187">
        <f>'anexa 4 lei'!N68/'anexa 4 lei'!$K$4</f>
        <v>25</v>
      </c>
      <c r="O68" s="555">
        <f>'anexa 4 lei'!O68/'anexa 4 lei'!$K$4</f>
        <v>0</v>
      </c>
    </row>
    <row r="69" spans="1:15" x14ac:dyDescent="0.2">
      <c r="A69" s="826"/>
      <c r="B69" s="828"/>
      <c r="C69" s="763"/>
      <c r="D69" s="763" t="s">
        <v>172</v>
      </c>
      <c r="E69" s="761" t="s">
        <v>383</v>
      </c>
      <c r="F69" s="763">
        <f t="shared" si="0"/>
        <v>60</v>
      </c>
      <c r="G69" s="187">
        <f>'anexa 4 lei'!G69/'anexa 4 lei'!$K$4</f>
        <v>25</v>
      </c>
      <c r="H69" s="187">
        <f>'anexa 4 lei'!H69/'anexa 4 lei'!$K$4</f>
        <v>5</v>
      </c>
      <c r="I69" s="187">
        <f>'anexa 4 lei'!I69/'anexa 4 lei'!$K$4</f>
        <v>5</v>
      </c>
      <c r="J69" s="187">
        <f>'anexa 4 lei'!J69/'anexa 4 lei'!$K$4</f>
        <v>8</v>
      </c>
      <c r="K69" s="555">
        <f>'anexa 4 lei'!K69/'anexa 4 lei'!$K$4</f>
        <v>7</v>
      </c>
      <c r="L69" s="551">
        <f>'anexa 4 lei'!L69/'anexa 4 lei'!$K$4</f>
        <v>0</v>
      </c>
      <c r="M69" s="187">
        <f>'anexa 4 lei'!M69/'anexa 4 lei'!$K$4</f>
        <v>41</v>
      </c>
      <c r="N69" s="187">
        <f>'anexa 4 lei'!N69/'anexa 4 lei'!$K$4</f>
        <v>25</v>
      </c>
      <c r="O69" s="555">
        <f>'anexa 4 lei'!O69/'anexa 4 lei'!$K$4</f>
        <v>0</v>
      </c>
    </row>
    <row r="70" spans="1:15" x14ac:dyDescent="0.2">
      <c r="A70" s="826"/>
      <c r="B70" s="828"/>
      <c r="C70" s="763"/>
      <c r="D70" s="763" t="s">
        <v>173</v>
      </c>
      <c r="E70" s="764" t="s">
        <v>384</v>
      </c>
      <c r="F70" s="763">
        <f t="shared" si="0"/>
        <v>61</v>
      </c>
      <c r="G70" s="187">
        <f>'anexa 4 lei'!G70/'anexa 4 lei'!$K$4</f>
        <v>125</v>
      </c>
      <c r="H70" s="187">
        <f>'anexa 4 lei'!H70/'anexa 4 lei'!$K$4</f>
        <v>25</v>
      </c>
      <c r="I70" s="187">
        <f>'anexa 4 lei'!I70/'anexa 4 lei'!$K$4</f>
        <v>30</v>
      </c>
      <c r="J70" s="187">
        <f>'anexa 4 lei'!J70/'anexa 4 lei'!$K$4</f>
        <v>40</v>
      </c>
      <c r="K70" s="555">
        <f>'anexa 4 lei'!K70/'anexa 4 lei'!$K$4</f>
        <v>30</v>
      </c>
      <c r="L70" s="551">
        <f>'anexa 4 lei'!L70/'anexa 4 lei'!$K$4</f>
        <v>92.298000000000002</v>
      </c>
      <c r="M70" s="187">
        <f>'anexa 4 lei'!M70/'anexa 4 lei'!$K$4</f>
        <v>120</v>
      </c>
      <c r="N70" s="187">
        <f>'anexa 4 lei'!N70/'anexa 4 lei'!$K$4</f>
        <v>125</v>
      </c>
      <c r="O70" s="555">
        <f>'anexa 4 lei'!O70/'anexa 4 lei'!$K$4</f>
        <v>0</v>
      </c>
    </row>
    <row r="71" spans="1:15" x14ac:dyDescent="0.2">
      <c r="A71" s="826"/>
      <c r="B71" s="828"/>
      <c r="C71" s="763" t="s">
        <v>28</v>
      </c>
      <c r="D71" s="830" t="s">
        <v>174</v>
      </c>
      <c r="E71" s="830"/>
      <c r="F71" s="763">
        <f t="shared" si="0"/>
        <v>62</v>
      </c>
      <c r="G71" s="187">
        <f>'anexa 4 lei'!G71/'anexa 4 lei'!$K$4</f>
        <v>900</v>
      </c>
      <c r="H71" s="187">
        <f>'anexa 4 lei'!H71/'anexa 4 lei'!$K$4</f>
        <v>200</v>
      </c>
      <c r="I71" s="187">
        <f>'anexa 4 lei'!I71/'anexa 4 lei'!$K$4</f>
        <v>200</v>
      </c>
      <c r="J71" s="187">
        <f>'anexa 4 lei'!J71/'anexa 4 lei'!$K$4</f>
        <v>250</v>
      </c>
      <c r="K71" s="555">
        <f>'anexa 4 lei'!K71/'anexa 4 lei'!$K$4</f>
        <v>250</v>
      </c>
      <c r="L71" s="551">
        <f>'anexa 4 lei'!L71/'anexa 4 lei'!$K$4</f>
        <v>892.38</v>
      </c>
      <c r="M71" s="187">
        <f>'anexa 4 lei'!M71/'anexa 4 lei'!$K$4</f>
        <v>1110</v>
      </c>
      <c r="N71" s="187">
        <f>'anexa 4 lei'!N71/'anexa 4 lei'!$K$4</f>
        <v>900</v>
      </c>
      <c r="O71" s="555">
        <f>'anexa 4 lei'!O71/'anexa 4 lei'!$K$4</f>
        <v>0</v>
      </c>
    </row>
    <row r="72" spans="1:15" x14ac:dyDescent="0.2">
      <c r="A72" s="826"/>
      <c r="B72" s="828"/>
      <c r="C72" s="763" t="s">
        <v>34</v>
      </c>
      <c r="D72" s="830" t="s">
        <v>175</v>
      </c>
      <c r="E72" s="830"/>
      <c r="F72" s="763">
        <f t="shared" si="0"/>
        <v>63</v>
      </c>
      <c r="G72" s="187">
        <f>'anexa 4 lei'!G72/'anexa 4 lei'!$K$4</f>
        <v>260</v>
      </c>
      <c r="H72" s="187">
        <f>'anexa 4 lei'!H72/'anexa 4 lei'!$K$4</f>
        <v>50</v>
      </c>
      <c r="I72" s="187">
        <f>'anexa 4 lei'!I72/'anexa 4 lei'!$K$4</f>
        <v>65</v>
      </c>
      <c r="J72" s="187">
        <f>'anexa 4 lei'!J72/'anexa 4 lei'!$K$4</f>
        <v>80</v>
      </c>
      <c r="K72" s="555">
        <f>'anexa 4 lei'!K72/'anexa 4 lei'!$K$4</f>
        <v>65</v>
      </c>
      <c r="L72" s="551">
        <f>'anexa 4 lei'!L72/'anexa 4 lei'!$K$4</f>
        <v>95.361999999999995</v>
      </c>
      <c r="M72" s="187">
        <f>'anexa 4 lei'!M72/'anexa 4 lei'!$K$4</f>
        <v>321.66782000000006</v>
      </c>
      <c r="N72" s="187">
        <f>'anexa 4 lei'!N72/'anexa 4 lei'!$K$4</f>
        <v>260</v>
      </c>
      <c r="O72" s="555">
        <f>'anexa 4 lei'!O72/'anexa 4 lei'!$K$4</f>
        <v>0</v>
      </c>
    </row>
    <row r="73" spans="1:15" x14ac:dyDescent="0.2">
      <c r="A73" s="826"/>
      <c r="B73" s="828"/>
      <c r="C73" s="763"/>
      <c r="D73" s="830" t="s">
        <v>467</v>
      </c>
      <c r="E73" s="830"/>
      <c r="F73" s="763">
        <f t="shared" si="0"/>
        <v>64</v>
      </c>
      <c r="G73" s="187">
        <f>'anexa 4 lei'!G73/'anexa 4 lei'!$K$4</f>
        <v>120</v>
      </c>
      <c r="H73" s="187">
        <f>'anexa 4 lei'!H73/'anexa 4 lei'!$K$4</f>
        <v>25</v>
      </c>
      <c r="I73" s="187">
        <f>'anexa 4 lei'!I73/'anexa 4 lei'!$K$4</f>
        <v>35</v>
      </c>
      <c r="J73" s="187">
        <f>'anexa 4 lei'!J73/'anexa 4 lei'!$K$4</f>
        <v>30</v>
      </c>
      <c r="K73" s="555">
        <f>'anexa 4 lei'!K73/'anexa 4 lei'!$K$4</f>
        <v>30</v>
      </c>
      <c r="L73" s="551">
        <f>'anexa 4 lei'!L73/'anexa 4 lei'!$K$4</f>
        <v>53.439</v>
      </c>
      <c r="M73" s="187">
        <f>'anexa 4 lei'!M73/'anexa 4 lei'!$K$4</f>
        <v>89.658020000000008</v>
      </c>
      <c r="N73" s="187">
        <f>'anexa 4 lei'!N73/'anexa 4 lei'!$K$4</f>
        <v>120</v>
      </c>
      <c r="O73" s="555">
        <f>'anexa 4 lei'!O73/'anexa 4 lei'!$K$4</f>
        <v>0</v>
      </c>
    </row>
    <row r="74" spans="1:15" x14ac:dyDescent="0.2">
      <c r="A74" s="826"/>
      <c r="B74" s="828"/>
      <c r="C74" s="763"/>
      <c r="D74" s="831" t="s">
        <v>385</v>
      </c>
      <c r="E74" s="831"/>
      <c r="F74" s="763">
        <f t="shared" si="0"/>
        <v>65</v>
      </c>
      <c r="G74" s="187">
        <f>'anexa 4 lei'!G74/'anexa 4 lei'!$K$4</f>
        <v>65</v>
      </c>
      <c r="H74" s="187">
        <f>'anexa 4 lei'!H74/'anexa 4 lei'!$K$4</f>
        <v>15</v>
      </c>
      <c r="I74" s="187">
        <f>'anexa 4 lei'!I74/'anexa 4 lei'!$K$4</f>
        <v>15</v>
      </c>
      <c r="J74" s="187">
        <f>'anexa 4 lei'!J74/'anexa 4 lei'!$K$4</f>
        <v>20</v>
      </c>
      <c r="K74" s="555">
        <f>'anexa 4 lei'!K74/'anexa 4 lei'!$K$4</f>
        <v>15</v>
      </c>
      <c r="L74" s="551">
        <f>'anexa 4 lei'!L74/'anexa 4 lei'!$K$4</f>
        <v>41.923000000000002</v>
      </c>
      <c r="M74" s="187">
        <f>'anexa 4 lei'!M74/'anexa 4 lei'!$K$4</f>
        <v>24</v>
      </c>
      <c r="N74" s="187">
        <f>'anexa 4 lei'!N74/'anexa 4 lei'!$K$4</f>
        <v>65</v>
      </c>
      <c r="O74" s="555">
        <f>'anexa 4 lei'!O74/'anexa 4 lei'!$K$4</f>
        <v>0</v>
      </c>
    </row>
    <row r="75" spans="1:15" x14ac:dyDescent="0.2">
      <c r="A75" s="826"/>
      <c r="B75" s="828"/>
      <c r="C75" s="763"/>
      <c r="D75" s="831" t="s">
        <v>386</v>
      </c>
      <c r="E75" s="831"/>
      <c r="F75" s="763">
        <f t="shared" si="0"/>
        <v>66</v>
      </c>
      <c r="G75" s="187">
        <f>'anexa 4 lei'!G75/'anexa 4 lei'!$K$4</f>
        <v>55</v>
      </c>
      <c r="H75" s="187">
        <f>'anexa 4 lei'!H75/'anexa 4 lei'!$K$4</f>
        <v>10</v>
      </c>
      <c r="I75" s="187">
        <f>'anexa 4 lei'!I75/'anexa 4 lei'!$K$4</f>
        <v>20</v>
      </c>
      <c r="J75" s="187">
        <f>'anexa 4 lei'!J75/'anexa 4 lei'!$K$4</f>
        <v>10</v>
      </c>
      <c r="K75" s="555">
        <f>'anexa 4 lei'!K75/'anexa 4 lei'!$K$4</f>
        <v>15</v>
      </c>
      <c r="L75" s="551">
        <f>'anexa 4 lei'!L75/'anexa 4 lei'!$K$4</f>
        <v>11.516</v>
      </c>
      <c r="M75" s="187">
        <f>'anexa 4 lei'!M75/'anexa 4 lei'!$K$4</f>
        <v>65.658020000000008</v>
      </c>
      <c r="N75" s="187">
        <f>'anexa 4 lei'!N75/'anexa 4 lei'!$K$4</f>
        <v>55</v>
      </c>
      <c r="O75" s="555">
        <f>'anexa 4 lei'!O75/'anexa 4 lei'!$K$4</f>
        <v>0</v>
      </c>
    </row>
    <row r="76" spans="1:15" x14ac:dyDescent="0.2">
      <c r="A76" s="826"/>
      <c r="B76" s="828"/>
      <c r="C76" s="763" t="s">
        <v>35</v>
      </c>
      <c r="D76" s="830" t="s">
        <v>177</v>
      </c>
      <c r="E76" s="830"/>
      <c r="F76" s="763">
        <f t="shared" ref="F76:F139" si="1">F75+1</f>
        <v>67</v>
      </c>
      <c r="G76" s="187">
        <f>'anexa 4 lei'!G76/'anexa 4 lei'!$K$4</f>
        <v>296.56387999999998</v>
      </c>
      <c r="H76" s="187">
        <f>'anexa 4 lei'!H76/'anexa 4 lei'!$K$4</f>
        <v>71.70389999999999</v>
      </c>
      <c r="I76" s="187">
        <f>'anexa 4 lei'!I76/'anexa 4 lei'!$K$4</f>
        <v>71.579139999999995</v>
      </c>
      <c r="J76" s="187">
        <f>'anexa 4 lei'!J76/'anexa 4 lei'!$K$4</f>
        <v>76.553839999999994</v>
      </c>
      <c r="K76" s="555">
        <f>'anexa 4 lei'!K76/'anexa 4 lei'!$K$4</f>
        <v>76.727000000000004</v>
      </c>
      <c r="L76" s="551">
        <f>'anexa 4 lei'!L76/'anexa 4 lei'!$K$4</f>
        <v>211.518</v>
      </c>
      <c r="M76" s="187">
        <f>'anexa 4 lei'!M76/'anexa 4 lei'!$K$4</f>
        <v>266.06465776959999</v>
      </c>
      <c r="N76" s="187">
        <f>'anexa 4 lei'!N76/'anexa 4 lei'!$K$4</f>
        <v>296.56387999999998</v>
      </c>
      <c r="O76" s="555">
        <f>'anexa 4 lei'!O76/'anexa 4 lei'!$K$4</f>
        <v>0</v>
      </c>
    </row>
    <row r="77" spans="1:15" x14ac:dyDescent="0.2">
      <c r="A77" s="826"/>
      <c r="B77" s="828"/>
      <c r="C77" s="763" t="s">
        <v>178</v>
      </c>
      <c r="D77" s="830" t="s">
        <v>179</v>
      </c>
      <c r="E77" s="830"/>
      <c r="F77" s="763">
        <f t="shared" si="1"/>
        <v>68</v>
      </c>
      <c r="G77" s="187">
        <f>'anexa 4 lei'!G77/'anexa 4 lei'!$K$4</f>
        <v>289.39087999999998</v>
      </c>
      <c r="H77" s="187">
        <f>'anexa 4 lei'!H77/'anexa 4 lei'!$K$4</f>
        <v>62.323080000000004</v>
      </c>
      <c r="I77" s="187">
        <f>'anexa 4 lei'!I77/'anexa 4 lei'!$K$4</f>
        <v>72.377649999999988</v>
      </c>
      <c r="J77" s="187">
        <f>'anexa 4 lei'!J77/'anexa 4 lei'!$K$4</f>
        <v>72.298149999999993</v>
      </c>
      <c r="K77" s="555">
        <f>'anexa 4 lei'!K77/'anexa 4 lei'!$K$4</f>
        <v>82.391999999999996</v>
      </c>
      <c r="L77" s="551">
        <f>'anexa 4 lei'!L77/'anexa 4 lei'!$K$4</f>
        <v>208.053</v>
      </c>
      <c r="M77" s="187">
        <f>'anexa 4 lei'!M77/'anexa 4 lei'!$K$4</f>
        <v>336.95199381280003</v>
      </c>
      <c r="N77" s="187">
        <f>'anexa 4 lei'!N77/'anexa 4 lei'!$K$4</f>
        <v>289.39087999999998</v>
      </c>
      <c r="O77" s="555">
        <f>'anexa 4 lei'!O77/'anexa 4 lei'!$K$4</f>
        <v>0</v>
      </c>
    </row>
    <row r="78" spans="1:15" ht="30.75" customHeight="1" x14ac:dyDescent="0.2">
      <c r="A78" s="826"/>
      <c r="B78" s="828"/>
      <c r="C78" s="763" t="s">
        <v>180</v>
      </c>
      <c r="D78" s="829" t="s">
        <v>181</v>
      </c>
      <c r="E78" s="829"/>
      <c r="F78" s="763">
        <f t="shared" si="1"/>
        <v>69</v>
      </c>
      <c r="G78" s="187">
        <f>'anexa 4 lei'!G78/'anexa 4 lei'!$K$4</f>
        <v>2117.8526499999998</v>
      </c>
      <c r="H78" s="187">
        <f>'anexa 4 lei'!H78/'anexa 4 lei'!$K$4</f>
        <v>469.44403000000005</v>
      </c>
      <c r="I78" s="187">
        <f>'anexa 4 lei'!I78/'anexa 4 lei'!$K$4</f>
        <v>504.21542999999997</v>
      </c>
      <c r="J78" s="187">
        <f>'anexa 4 lei'!J78/'anexa 4 lei'!$K$4</f>
        <v>576.59652000000006</v>
      </c>
      <c r="K78" s="555">
        <f>'anexa 4 lei'!K78/'anexa 4 lei'!$K$4</f>
        <v>567.59667000000002</v>
      </c>
      <c r="L78" s="551">
        <f>'anexa 4 lei'!L78/'anexa 4 lei'!$K$4</f>
        <v>1390.3230000000001</v>
      </c>
      <c r="M78" s="187">
        <f>'anexa 4 lei'!M78/'anexa 4 lei'!$K$4</f>
        <v>2190.2759192039998</v>
      </c>
      <c r="N78" s="187">
        <f>'anexa 4 lei'!N78/'anexa 4 lei'!$K$4</f>
        <v>2117.8526499999998</v>
      </c>
      <c r="O78" s="555">
        <f>'anexa 4 lei'!O78/'anexa 4 lei'!$K$4</f>
        <v>0</v>
      </c>
    </row>
    <row r="79" spans="1:15" x14ac:dyDescent="0.2">
      <c r="A79" s="826"/>
      <c r="B79" s="828"/>
      <c r="C79" s="763"/>
      <c r="D79" s="763" t="s">
        <v>56</v>
      </c>
      <c r="E79" s="764" t="s">
        <v>182</v>
      </c>
      <c r="F79" s="763">
        <f t="shared" si="1"/>
        <v>70</v>
      </c>
      <c r="G79" s="187">
        <f>'anexa 4 lei'!G79/'anexa 4 lei'!$K$4</f>
        <v>910</v>
      </c>
      <c r="H79" s="187">
        <f>'anexa 4 lei'!H79/'anexa 4 lei'!$K$4</f>
        <v>225</v>
      </c>
      <c r="I79" s="187">
        <f>'anexa 4 lei'!I79/'anexa 4 lei'!$K$4</f>
        <v>225</v>
      </c>
      <c r="J79" s="187">
        <f>'anexa 4 lei'!J79/'anexa 4 lei'!$K$4</f>
        <v>230</v>
      </c>
      <c r="K79" s="555">
        <f>'anexa 4 lei'!K79/'anexa 4 lei'!$K$4</f>
        <v>230</v>
      </c>
      <c r="L79" s="551">
        <f>'anexa 4 lei'!L79/'anexa 4 lei'!$K$4</f>
        <v>590</v>
      </c>
      <c r="M79" s="187">
        <f>'anexa 4 lei'!M79/'anexa 4 lei'!$K$4</f>
        <v>600</v>
      </c>
      <c r="N79" s="187">
        <f>'anexa 4 lei'!N79/'anexa 4 lei'!$K$4</f>
        <v>910</v>
      </c>
      <c r="O79" s="555">
        <f>'anexa 4 lei'!O79/'anexa 4 lei'!$K$4</f>
        <v>0</v>
      </c>
    </row>
    <row r="80" spans="1:15" ht="25.5" x14ac:dyDescent="0.2">
      <c r="A80" s="826"/>
      <c r="B80" s="828"/>
      <c r="C80" s="763"/>
      <c r="D80" s="763" t="s">
        <v>57</v>
      </c>
      <c r="E80" s="761" t="s">
        <v>229</v>
      </c>
      <c r="F80" s="763">
        <f t="shared" si="1"/>
        <v>71</v>
      </c>
      <c r="G80" s="187">
        <f>'anexa 4 lei'!G80/'anexa 4 lei'!$K$4</f>
        <v>375.5</v>
      </c>
      <c r="H80" s="187">
        <f>'anexa 4 lei'!H80/'anexa 4 lei'!$K$4</f>
        <v>50.125</v>
      </c>
      <c r="I80" s="187">
        <f>'anexa 4 lei'!I80/'anexa 4 lei'!$K$4</f>
        <v>75.125</v>
      </c>
      <c r="J80" s="187">
        <f>'anexa 4 lei'!J80/'anexa 4 lei'!$K$4</f>
        <v>100.125</v>
      </c>
      <c r="K80" s="555">
        <f>'anexa 4 lei'!K80/'anexa 4 lei'!$K$4</f>
        <v>150.125</v>
      </c>
      <c r="L80" s="551">
        <f>'anexa 4 lei'!L80/'anexa 4 lei'!$K$4</f>
        <v>81.96</v>
      </c>
      <c r="M80" s="187">
        <f>'anexa 4 lei'!M80/'anexa 4 lei'!$K$4</f>
        <v>450.28699999999998</v>
      </c>
      <c r="N80" s="187">
        <f>'anexa 4 lei'!N80/'anexa 4 lei'!$K$4</f>
        <v>375.5</v>
      </c>
      <c r="O80" s="555">
        <f>'anexa 4 lei'!O80/'anexa 4 lei'!$K$4</f>
        <v>0</v>
      </c>
    </row>
    <row r="81" spans="1:15" x14ac:dyDescent="0.2">
      <c r="A81" s="826"/>
      <c r="B81" s="828"/>
      <c r="C81" s="763"/>
      <c r="D81" s="763" t="s">
        <v>58</v>
      </c>
      <c r="E81" s="764" t="s">
        <v>183</v>
      </c>
      <c r="F81" s="763">
        <f t="shared" si="1"/>
        <v>72</v>
      </c>
      <c r="G81" s="187">
        <f>'anexa 4 lei'!G81/'anexa 4 lei'!$K$4</f>
        <v>312.59667999999999</v>
      </c>
      <c r="H81" s="187">
        <f>'anexa 4 lei'!H81/'anexa 4 lei'!$K$4</f>
        <v>50.641669999999998</v>
      </c>
      <c r="I81" s="187">
        <f>'anexa 4 lei'!I81/'anexa 4 lei'!$K$4</f>
        <v>60.641669999999998</v>
      </c>
      <c r="J81" s="187">
        <f>'anexa 4 lei'!J81/'anexa 4 lei'!$K$4</f>
        <v>100.65666999999999</v>
      </c>
      <c r="K81" s="555">
        <f>'anexa 4 lei'!K81/'anexa 4 lei'!$K$4</f>
        <v>100.65666999999999</v>
      </c>
      <c r="L81" s="551">
        <f>'anexa 4 lei'!L81/'anexa 4 lei'!$K$4</f>
        <v>84.423000000000002</v>
      </c>
      <c r="M81" s="187">
        <f>'anexa 4 lei'!M81/'anexa 4 lei'!$K$4</f>
        <v>180.17993952640001</v>
      </c>
      <c r="N81" s="187">
        <f>'anexa 4 lei'!N81/'anexa 4 lei'!$K$4</f>
        <v>312.59667999999999</v>
      </c>
      <c r="O81" s="555">
        <f>'anexa 4 lei'!O81/'anexa 4 lei'!$K$4</f>
        <v>0</v>
      </c>
    </row>
    <row r="82" spans="1:15" ht="25.5" x14ac:dyDescent="0.2">
      <c r="A82" s="826"/>
      <c r="B82" s="828"/>
      <c r="C82" s="763"/>
      <c r="D82" s="763" t="s">
        <v>59</v>
      </c>
      <c r="E82" s="761" t="s">
        <v>184</v>
      </c>
      <c r="F82" s="763">
        <f t="shared" si="1"/>
        <v>73</v>
      </c>
      <c r="G82" s="187">
        <f>'anexa 4 lei'!G82/'anexa 4 lei'!$K$4</f>
        <v>0</v>
      </c>
      <c r="H82" s="187">
        <f>'anexa 4 lei'!H82/'anexa 4 lei'!$K$4</f>
        <v>0</v>
      </c>
      <c r="I82" s="187">
        <f>'anexa 4 lei'!I82/'anexa 4 lei'!$K$4</f>
        <v>0</v>
      </c>
      <c r="J82" s="187">
        <f>'anexa 4 lei'!J82/'anexa 4 lei'!$K$4</f>
        <v>0</v>
      </c>
      <c r="K82" s="555">
        <f>'anexa 4 lei'!K82/'anexa 4 lei'!$K$4</f>
        <v>0</v>
      </c>
      <c r="L82" s="551">
        <f>'anexa 4 lei'!L82/'anexa 4 lei'!$K$4</f>
        <v>0</v>
      </c>
      <c r="M82" s="187">
        <f>'anexa 4 lei'!M82/'anexa 4 lei'!$K$4</f>
        <v>113</v>
      </c>
      <c r="N82" s="187">
        <f>'anexa 4 lei'!N82/'anexa 4 lei'!$K$4</f>
        <v>0</v>
      </c>
      <c r="O82" s="555">
        <f>'anexa 4 lei'!O82/'anexa 4 lei'!$K$4</f>
        <v>0</v>
      </c>
    </row>
    <row r="83" spans="1:15" x14ac:dyDescent="0.2">
      <c r="A83" s="826"/>
      <c r="B83" s="828"/>
      <c r="C83" s="763"/>
      <c r="D83" s="763"/>
      <c r="E83" s="764" t="s">
        <v>387</v>
      </c>
      <c r="F83" s="763">
        <f t="shared" si="1"/>
        <v>74</v>
      </c>
      <c r="G83" s="187">
        <f>'anexa 4 lei'!G83/'anexa 4 lei'!$K$4</f>
        <v>0</v>
      </c>
      <c r="H83" s="187">
        <f>'anexa 4 lei'!H83/'anexa 4 lei'!$K$4</f>
        <v>0</v>
      </c>
      <c r="I83" s="187">
        <f>'anexa 4 lei'!I83/'anexa 4 lei'!$K$4</f>
        <v>0</v>
      </c>
      <c r="J83" s="187">
        <f>'anexa 4 lei'!J83/'anexa 4 lei'!$K$4</f>
        <v>0</v>
      </c>
      <c r="K83" s="555">
        <f>'anexa 4 lei'!K83/'anexa 4 lei'!$K$4</f>
        <v>0</v>
      </c>
      <c r="L83" s="551">
        <f>'anexa 4 lei'!L83/'anexa 4 lei'!$K$4</f>
        <v>0</v>
      </c>
      <c r="M83" s="187">
        <f>'anexa 4 lei'!M83/'anexa 4 lei'!$K$4</f>
        <v>90</v>
      </c>
      <c r="N83" s="187">
        <f>'anexa 4 lei'!N83/'anexa 4 lei'!$K$4</f>
        <v>0</v>
      </c>
      <c r="O83" s="555">
        <f>'anexa 4 lei'!O83/'anexa 4 lei'!$K$4</f>
        <v>0</v>
      </c>
    </row>
    <row r="84" spans="1:15" x14ac:dyDescent="0.2">
      <c r="A84" s="826"/>
      <c r="B84" s="828"/>
      <c r="C84" s="763"/>
      <c r="D84" s="763" t="s">
        <v>60</v>
      </c>
      <c r="E84" s="764" t="s">
        <v>545</v>
      </c>
      <c r="F84" s="763">
        <f t="shared" si="1"/>
        <v>75</v>
      </c>
      <c r="G84" s="187">
        <f>'anexa 4 lei'!G84/'anexa 4 lei'!$K$4</f>
        <v>511.75596999999999</v>
      </c>
      <c r="H84" s="187">
        <f>'anexa 4 lei'!H84/'anexa 4 lei'!$K$4</f>
        <v>141.67735999999999</v>
      </c>
      <c r="I84" s="187">
        <f>'anexa 4 lei'!I84/'anexa 4 lei'!$K$4</f>
        <v>141.44876000000002</v>
      </c>
      <c r="J84" s="187">
        <f>'anexa 4 lei'!J84/'anexa 4 lei'!$K$4</f>
        <v>143.81485000000001</v>
      </c>
      <c r="K84" s="555">
        <f>'anexa 4 lei'!K84/'anexa 4 lei'!$K$4</f>
        <v>84.814999999999998</v>
      </c>
      <c r="L84" s="551">
        <f>'anexa 4 lei'!L84/'anexa 4 lei'!$K$4</f>
        <v>622.69000000000005</v>
      </c>
      <c r="M84" s="187">
        <f>'anexa 4 lei'!M84/'anexa 4 lei'!$K$4</f>
        <v>731.80897967760006</v>
      </c>
      <c r="N84" s="187">
        <f>'anexa 4 lei'!N84/'anexa 4 lei'!$K$4</f>
        <v>511.75596999999999</v>
      </c>
      <c r="O84" s="555">
        <f>'anexa 4 lei'!O84/'anexa 4 lei'!$K$4</f>
        <v>0</v>
      </c>
    </row>
    <row r="85" spans="1:15" ht="38.25" x14ac:dyDescent="0.2">
      <c r="A85" s="826"/>
      <c r="B85" s="828"/>
      <c r="C85" s="763"/>
      <c r="D85" s="763" t="s">
        <v>61</v>
      </c>
      <c r="E85" s="761" t="s">
        <v>185</v>
      </c>
      <c r="F85" s="763">
        <f t="shared" si="1"/>
        <v>76</v>
      </c>
      <c r="G85" s="187">
        <f>'anexa 4 lei'!G85/'anexa 4 lei'!$K$4</f>
        <v>0</v>
      </c>
      <c r="H85" s="187">
        <f>'anexa 4 lei'!H85/'anexa 4 lei'!$K$4</f>
        <v>0</v>
      </c>
      <c r="I85" s="187">
        <f>'anexa 4 lei'!I85/'anexa 4 lei'!$K$4</f>
        <v>0</v>
      </c>
      <c r="J85" s="187">
        <f>'anexa 4 lei'!J85/'anexa 4 lei'!$K$4</f>
        <v>0</v>
      </c>
      <c r="K85" s="555">
        <f>'anexa 4 lei'!K85/'anexa 4 lei'!$K$4</f>
        <v>0</v>
      </c>
      <c r="L85" s="551">
        <f>'anexa 4 lei'!L85/'anexa 4 lei'!$K$4</f>
        <v>0</v>
      </c>
      <c r="M85" s="187">
        <f>'anexa 4 lei'!M85/'anexa 4 lei'!$K$4</f>
        <v>100</v>
      </c>
      <c r="N85" s="187">
        <f>'anexa 4 lei'!N85/'anexa 4 lei'!$K$4</f>
        <v>0</v>
      </c>
      <c r="O85" s="555">
        <f>'anexa 4 lei'!O85/'anexa 4 lei'!$K$4</f>
        <v>0</v>
      </c>
    </row>
    <row r="86" spans="1:15" x14ac:dyDescent="0.2">
      <c r="A86" s="826"/>
      <c r="B86" s="828"/>
      <c r="C86" s="763"/>
      <c r="D86" s="763" t="s">
        <v>62</v>
      </c>
      <c r="E86" s="761" t="s">
        <v>186</v>
      </c>
      <c r="F86" s="763">
        <f t="shared" si="1"/>
        <v>77</v>
      </c>
      <c r="G86" s="187">
        <f>'anexa 4 lei'!G86/'anexa 4 lei'!$K$4</f>
        <v>8</v>
      </c>
      <c r="H86" s="187">
        <f>'anexa 4 lei'!H86/'anexa 4 lei'!$K$4</f>
        <v>2</v>
      </c>
      <c r="I86" s="187">
        <f>'anexa 4 lei'!I86/'anexa 4 lei'!$K$4</f>
        <v>2</v>
      </c>
      <c r="J86" s="187">
        <f>'anexa 4 lei'!J86/'anexa 4 lei'!$K$4</f>
        <v>2</v>
      </c>
      <c r="K86" s="555">
        <f>'anexa 4 lei'!K86/'anexa 4 lei'!$K$4</f>
        <v>2</v>
      </c>
      <c r="L86" s="551">
        <f>'anexa 4 lei'!L86/'anexa 4 lei'!$K$4</f>
        <v>11.25</v>
      </c>
      <c r="M86" s="187">
        <f>'anexa 4 lei'!M86/'anexa 4 lei'!$K$4</f>
        <v>15</v>
      </c>
      <c r="N86" s="187">
        <f>'anexa 4 lei'!N86/'anexa 4 lei'!$K$4</f>
        <v>8</v>
      </c>
      <c r="O86" s="555">
        <f>'anexa 4 lei'!O86/'anexa 4 lei'!$K$4</f>
        <v>0</v>
      </c>
    </row>
    <row r="87" spans="1:15" x14ac:dyDescent="0.2">
      <c r="A87" s="826"/>
      <c r="B87" s="828"/>
      <c r="C87" s="763" t="s">
        <v>344</v>
      </c>
      <c r="D87" s="831" t="s">
        <v>149</v>
      </c>
      <c r="E87" s="831"/>
      <c r="F87" s="763">
        <f t="shared" si="1"/>
        <v>78</v>
      </c>
      <c r="G87" s="187">
        <f>'anexa 4 lei'!G87/'anexa 4 lei'!$K$4</f>
        <v>4132.1971899999999</v>
      </c>
      <c r="H87" s="187">
        <f>'anexa 4 lei'!H87/'anexa 4 lei'!$K$4</f>
        <v>771.87738999999999</v>
      </c>
      <c r="I87" s="187">
        <f>'anexa 4 lei'!I87/'anexa 4 lei'!$K$4</f>
        <v>916.32398000000001</v>
      </c>
      <c r="J87" s="187">
        <f>'anexa 4 lei'!J87/'anexa 4 lei'!$K$4</f>
        <v>1250.26982</v>
      </c>
      <c r="K87" s="555">
        <f>'anexa 4 lei'!K87/'anexa 4 lei'!$K$4</f>
        <v>1193.7260000000001</v>
      </c>
      <c r="L87" s="551">
        <f>'anexa 4 lei'!L87/'anexa 4 lei'!$K$4</f>
        <v>3344.6289999999999</v>
      </c>
      <c r="M87" s="187">
        <f>'anexa 4 lei'!M87/'anexa 4 lei'!$K$4</f>
        <v>3315.4816007335994</v>
      </c>
      <c r="N87" s="187">
        <f>'anexa 4 lei'!N87/'anexa 4 lei'!$K$4</f>
        <v>3817.1971899999999</v>
      </c>
      <c r="O87" s="555">
        <f>'anexa 4 lei'!O87/'anexa 4 lei'!$K$4</f>
        <v>315</v>
      </c>
    </row>
    <row r="88" spans="1:15" ht="31.5" customHeight="1" x14ac:dyDescent="0.2">
      <c r="A88" s="826"/>
      <c r="B88" s="828"/>
      <c r="C88" s="829" t="s">
        <v>468</v>
      </c>
      <c r="D88" s="829"/>
      <c r="E88" s="829"/>
      <c r="F88" s="763">
        <f t="shared" si="1"/>
        <v>79</v>
      </c>
      <c r="G88" s="187">
        <f>'anexa 4 lei'!G88/'anexa 4 lei'!$K$4</f>
        <v>13805.724490000001</v>
      </c>
      <c r="H88" s="187">
        <f>'anexa 4 lei'!H88/'anexa 4 lei'!$K$4</f>
        <v>2056.8870400000001</v>
      </c>
      <c r="I88" s="187">
        <f>'anexa 4 lei'!I88/'anexa 4 lei'!$K$4</f>
        <v>2068.7092600000001</v>
      </c>
      <c r="J88" s="187">
        <f>'anexa 4 lei'!J88/'anexa 4 lei'!$K$4</f>
        <v>4844.5095300000003</v>
      </c>
      <c r="K88" s="555">
        <f>'anexa 4 lei'!K88/'anexa 4 lei'!$K$4</f>
        <v>4835.6186600000001</v>
      </c>
      <c r="L88" s="551">
        <f>'anexa 4 lei'!L88/'anexa 4 lei'!$K$4</f>
        <v>7611.5870000000004</v>
      </c>
      <c r="M88" s="187">
        <f>'anexa 4 lei'!M88/'anexa 4 lei'!$K$4</f>
        <v>8857.3574429902001</v>
      </c>
      <c r="N88" s="187">
        <f>'anexa 4 lei'!N88/'anexa 4 lei'!$K$4</f>
        <v>8441.5574900000011</v>
      </c>
      <c r="O88" s="555">
        <f>'anexa 4 lei'!O88/'anexa 4 lei'!$K$4</f>
        <v>5364.1670000000004</v>
      </c>
    </row>
    <row r="89" spans="1:15" ht="13.5" customHeight="1" x14ac:dyDescent="0.2">
      <c r="A89" s="826"/>
      <c r="B89" s="828"/>
      <c r="C89" s="763" t="s">
        <v>27</v>
      </c>
      <c r="D89" s="837" t="s">
        <v>188</v>
      </c>
      <c r="E89" s="837"/>
      <c r="F89" s="763">
        <f t="shared" si="1"/>
        <v>80</v>
      </c>
      <c r="G89" s="187">
        <f>'anexa 4 lei'!G89/'anexa 4 lei'!$K$4</f>
        <v>0</v>
      </c>
      <c r="H89" s="187">
        <f>'anexa 4 lei'!H89/'anexa 4 lei'!$K$4</f>
        <v>0</v>
      </c>
      <c r="I89" s="187">
        <f>'anexa 4 lei'!I89/'anexa 4 lei'!$K$4</f>
        <v>0</v>
      </c>
      <c r="J89" s="187">
        <f>'anexa 4 lei'!J89/'anexa 4 lei'!$K$4</f>
        <v>0</v>
      </c>
      <c r="K89" s="555">
        <f>'anexa 4 lei'!K89/'anexa 4 lei'!$K$4</f>
        <v>0</v>
      </c>
      <c r="L89" s="551">
        <f>'anexa 4 lei'!L89/'anexa 4 lei'!$K$4</f>
        <v>0</v>
      </c>
      <c r="M89" s="187">
        <f>'anexa 4 lei'!M89/'anexa 4 lei'!$K$4</f>
        <v>0</v>
      </c>
      <c r="N89" s="187">
        <f>'anexa 4 lei'!N89/'anexa 4 lei'!$K$4</f>
        <v>0</v>
      </c>
      <c r="O89" s="555">
        <f>'anexa 4 lei'!O89/'anexa 4 lei'!$K$4</f>
        <v>0</v>
      </c>
    </row>
    <row r="90" spans="1:15" ht="13.5" customHeight="1" x14ac:dyDescent="0.2">
      <c r="A90" s="826"/>
      <c r="B90" s="828"/>
      <c r="C90" s="763" t="s">
        <v>38</v>
      </c>
      <c r="D90" s="837" t="s">
        <v>388</v>
      </c>
      <c r="E90" s="837"/>
      <c r="F90" s="763">
        <f t="shared" si="1"/>
        <v>81</v>
      </c>
      <c r="G90" s="187">
        <f>'anexa 4 lei'!G90/'anexa 4 lei'!$K$4</f>
        <v>10700</v>
      </c>
      <c r="H90" s="187">
        <f>'anexa 4 lei'!H90/'anexa 4 lei'!$K$4</f>
        <v>1330</v>
      </c>
      <c r="I90" s="187">
        <f>'anexa 4 lei'!I90/'anexa 4 lei'!$K$4</f>
        <v>1335.8330000000001</v>
      </c>
      <c r="J90" s="187">
        <f>'anexa 4 lei'!J90/'anexa 4 lei'!$K$4</f>
        <v>4035</v>
      </c>
      <c r="K90" s="555">
        <f>'anexa 4 lei'!K90/'anexa 4 lei'!$K$4</f>
        <v>3999.1669999999999</v>
      </c>
      <c r="L90" s="551">
        <f>'anexa 4 lei'!L90/'anexa 4 lei'!$K$4</f>
        <v>5326.6679999999997</v>
      </c>
      <c r="M90" s="187">
        <f>'anexa 4 lei'!M90/'anexa 4 lei'!$K$4</f>
        <v>6185.3544865260001</v>
      </c>
      <c r="N90" s="187">
        <f>'anexa 4 lei'!N90/'anexa 4 lei'!$K$4</f>
        <v>5335.8329999999996</v>
      </c>
      <c r="O90" s="555">
        <f>'anexa 4 lei'!O90/'anexa 4 lei'!$K$4</f>
        <v>5364.1670000000004</v>
      </c>
    </row>
    <row r="91" spans="1:15" x14ac:dyDescent="0.2">
      <c r="A91" s="826"/>
      <c r="B91" s="828"/>
      <c r="C91" s="763" t="s">
        <v>40</v>
      </c>
      <c r="D91" s="830" t="s">
        <v>41</v>
      </c>
      <c r="E91" s="830"/>
      <c r="F91" s="763">
        <f t="shared" si="1"/>
        <v>82</v>
      </c>
      <c r="G91" s="187">
        <f>'anexa 4 lei'!G91/'anexa 4 lei'!$K$4</f>
        <v>40</v>
      </c>
      <c r="H91" s="187">
        <f>'anexa 4 lei'!H91/'anexa 4 lei'!$K$4</f>
        <v>10</v>
      </c>
      <c r="I91" s="187">
        <f>'anexa 4 lei'!I91/'anexa 4 lei'!$K$4</f>
        <v>10</v>
      </c>
      <c r="J91" s="187">
        <f>'anexa 4 lei'!J91/'anexa 4 lei'!$K$4</f>
        <v>10</v>
      </c>
      <c r="K91" s="555">
        <f>'anexa 4 lei'!K91/'anexa 4 lei'!$K$4</f>
        <v>10</v>
      </c>
      <c r="L91" s="551">
        <f>'anexa 4 lei'!L91/'anexa 4 lei'!$K$4</f>
        <v>24.45</v>
      </c>
      <c r="M91" s="187">
        <f>'anexa 4 lei'!M91/'anexa 4 lei'!$K$4</f>
        <v>25</v>
      </c>
      <c r="N91" s="187">
        <f>'anexa 4 lei'!N91/'anexa 4 lei'!$K$4</f>
        <v>40</v>
      </c>
      <c r="O91" s="555">
        <f>'anexa 4 lei'!O91/'anexa 4 lei'!$K$4</f>
        <v>0</v>
      </c>
    </row>
    <row r="92" spans="1:15" ht="13.5" thickBot="1" x14ac:dyDescent="0.25">
      <c r="A92" s="826"/>
      <c r="B92" s="828"/>
      <c r="C92" s="763" t="s">
        <v>42</v>
      </c>
      <c r="D92" s="830" t="s">
        <v>43</v>
      </c>
      <c r="E92" s="830"/>
      <c r="F92" s="763">
        <f t="shared" si="1"/>
        <v>83</v>
      </c>
      <c r="G92" s="187">
        <f>'anexa 4 lei'!G92/'anexa 4 lei'!$K$4</f>
        <v>83.31738</v>
      </c>
      <c r="H92" s="187">
        <f>'anexa 4 lei'!H92/'anexa 4 lei'!$K$4</f>
        <v>21.392379999999999</v>
      </c>
      <c r="I92" s="187">
        <f>'anexa 4 lei'!I92/'anexa 4 lei'!$K$4</f>
        <v>19.225000000000001</v>
      </c>
      <c r="J92" s="187">
        <f>'anexa 4 lei'!J92/'anexa 4 lei'!$K$4</f>
        <v>20.574999999999999</v>
      </c>
      <c r="K92" s="555">
        <f>'anexa 4 lei'!K92/'anexa 4 lei'!$K$4</f>
        <v>22.125</v>
      </c>
      <c r="L92" s="551">
        <f>'anexa 4 lei'!L92/'anexa 4 lei'!$K$4</f>
        <v>81.472999999999999</v>
      </c>
      <c r="M92" s="187">
        <f>'anexa 4 lei'!M92/'anexa 4 lei'!$K$4</f>
        <v>123.6555930048</v>
      </c>
      <c r="N92" s="187">
        <f>'anexa 4 lei'!N92/'anexa 4 lei'!$K$4</f>
        <v>83.31738</v>
      </c>
      <c r="O92" s="555">
        <f>'anexa 4 lei'!O92/'anexa 4 lei'!$K$4</f>
        <v>0</v>
      </c>
    </row>
    <row r="93" spans="1:15" x14ac:dyDescent="0.2">
      <c r="A93" s="832"/>
      <c r="B93" s="828"/>
      <c r="C93" s="763" t="s">
        <v>28</v>
      </c>
      <c r="D93" s="830" t="s">
        <v>44</v>
      </c>
      <c r="E93" s="830"/>
      <c r="F93" s="763">
        <f t="shared" si="1"/>
        <v>84</v>
      </c>
      <c r="G93" s="187">
        <f>'anexa 4 lei'!G93/'anexa 4 lei'!$K$4</f>
        <v>6</v>
      </c>
      <c r="H93" s="187">
        <f>'anexa 4 lei'!H93/'anexa 4 lei'!$K$4</f>
        <v>2</v>
      </c>
      <c r="I93" s="187">
        <f>'anexa 4 lei'!I93/'anexa 4 lei'!$K$4</f>
        <v>1</v>
      </c>
      <c r="J93" s="187">
        <f>'anexa 4 lei'!J93/'anexa 4 lei'!$K$4</f>
        <v>1</v>
      </c>
      <c r="K93" s="555">
        <f>'anexa 4 lei'!K93/'anexa 4 lei'!$K$4</f>
        <v>2</v>
      </c>
      <c r="L93" s="551">
        <f>'anexa 4 lei'!L93/'anexa 4 lei'!$K$4</f>
        <v>0.75</v>
      </c>
      <c r="M93" s="187">
        <f>'anexa 4 lei'!M93/'anexa 4 lei'!$K$4</f>
        <v>5</v>
      </c>
      <c r="N93" s="187">
        <f>'anexa 4 lei'!N93/'anexa 4 lei'!$K$4</f>
        <v>6</v>
      </c>
      <c r="O93" s="555">
        <f>'anexa 4 lei'!O93/'anexa 4 lei'!$K$4</f>
        <v>0</v>
      </c>
    </row>
    <row r="94" spans="1:15" x14ac:dyDescent="0.2">
      <c r="A94" s="826"/>
      <c r="B94" s="828"/>
      <c r="C94" s="763" t="s">
        <v>34</v>
      </c>
      <c r="D94" s="830" t="s">
        <v>45</v>
      </c>
      <c r="E94" s="830"/>
      <c r="F94" s="763">
        <f t="shared" si="1"/>
        <v>85</v>
      </c>
      <c r="G94" s="187">
        <f>'anexa 4 lei'!G94/'anexa 4 lei'!$K$4</f>
        <v>2976.4071099999996</v>
      </c>
      <c r="H94" s="187">
        <f>'anexa 4 lei'!H94/'anexa 4 lei'!$K$4</f>
        <v>693.49466000000007</v>
      </c>
      <c r="I94" s="187">
        <f>'anexa 4 lei'!I94/'anexa 4 lei'!$K$4</f>
        <v>702.65125999999998</v>
      </c>
      <c r="J94" s="187">
        <f>'anexa 4 lei'!J94/'anexa 4 lei'!$K$4</f>
        <v>777.93453</v>
      </c>
      <c r="K94" s="555">
        <f>'anexa 4 lei'!K94/'anexa 4 lei'!$K$4</f>
        <v>802.32666000000006</v>
      </c>
      <c r="L94" s="551">
        <f>'anexa 4 lei'!L94/'anexa 4 lei'!$K$4</f>
        <v>2178.2460000000001</v>
      </c>
      <c r="M94" s="187">
        <f>'anexa 4 lei'!M94/'anexa 4 lei'!$K$4</f>
        <v>2518.3473634593997</v>
      </c>
      <c r="N94" s="187">
        <f>'anexa 4 lei'!N94/'anexa 4 lei'!$K$4</f>
        <v>2976.4071099999996</v>
      </c>
      <c r="O94" s="555">
        <f>'anexa 4 lei'!O94/'anexa 4 lei'!$K$4</f>
        <v>0</v>
      </c>
    </row>
    <row r="95" spans="1:15" ht="36" customHeight="1" x14ac:dyDescent="0.2">
      <c r="A95" s="826"/>
      <c r="B95" s="828"/>
      <c r="C95" s="829" t="s">
        <v>510</v>
      </c>
      <c r="D95" s="829"/>
      <c r="E95" s="829"/>
      <c r="F95" s="763">
        <f t="shared" si="1"/>
        <v>86</v>
      </c>
      <c r="G95" s="187">
        <f>'anexa 4 lei'!G95/'anexa 4 lei'!$K$4</f>
        <v>46664.439328879998</v>
      </c>
      <c r="H95" s="187">
        <f>'anexa 4 lei'!H95/'anexa 4 lei'!$K$4</f>
        <v>9915.835894519998</v>
      </c>
      <c r="I95" s="187">
        <f>'anexa 4 lei'!I95/'anexa 4 lei'!$K$4</f>
        <v>14137.74713534</v>
      </c>
      <c r="J95" s="187">
        <f>'anexa 4 lei'!J95/'anexa 4 lei'!$K$4</f>
        <v>10649.60998608</v>
      </c>
      <c r="K95" s="555">
        <f>'anexa 4 lei'!K95/'anexa 4 lei'!$K$4</f>
        <v>11961.24631294</v>
      </c>
      <c r="L95" s="551">
        <f>'anexa 4 lei'!L95/'anexa 4 lei'!$K$4</f>
        <v>44830.120634520004</v>
      </c>
      <c r="M95" s="187">
        <f>'anexa 4 lei'!M95/'anexa 4 lei'!$K$4</f>
        <v>45930.056912022003</v>
      </c>
      <c r="N95" s="187">
        <f>'anexa 4 lei'!N95/'anexa 4 lei'!$K$4</f>
        <v>46664.439328879998</v>
      </c>
      <c r="O95" s="555">
        <f>'anexa 4 lei'!O95/'anexa 4 lei'!$K$4</f>
        <v>0</v>
      </c>
    </row>
    <row r="96" spans="1:15" ht="36" customHeight="1" x14ac:dyDescent="0.2">
      <c r="A96" s="826"/>
      <c r="B96" s="828"/>
      <c r="C96" s="163" t="s">
        <v>396</v>
      </c>
      <c r="D96" s="838" t="s">
        <v>413</v>
      </c>
      <c r="E96" s="838"/>
      <c r="F96" s="763">
        <f t="shared" si="1"/>
        <v>87</v>
      </c>
      <c r="G96" s="187">
        <f>'anexa 4 lei'!G96/'anexa 4 lei'!$K$4</f>
        <v>37486.212</v>
      </c>
      <c r="H96" s="187">
        <f>'anexa 4 lei'!H96/'anexa 4 lei'!$K$4</f>
        <v>7944.9470000000001</v>
      </c>
      <c r="I96" s="187">
        <f>'anexa 4 lei'!I96/'anexa 4 lei'!$K$4</f>
        <v>11369.710999999999</v>
      </c>
      <c r="J96" s="187">
        <f>'anexa 4 lei'!J96/'anexa 4 lei'!$K$4</f>
        <v>8533.7839999999997</v>
      </c>
      <c r="K96" s="555">
        <f>'anexa 4 lei'!K96/'anexa 4 lei'!$K$4</f>
        <v>9637.77</v>
      </c>
      <c r="L96" s="551">
        <f>'anexa 4 lei'!L96/'anexa 4 lei'!$K$4</f>
        <v>35335.885999999999</v>
      </c>
      <c r="M96" s="187">
        <f>'anexa 4 lei'!M96/'anexa 4 lei'!$K$4</f>
        <v>35737.223402800002</v>
      </c>
      <c r="N96" s="187">
        <f>'anexa 4 lei'!N96/'anexa 4 lei'!$K$4</f>
        <v>37486.212</v>
      </c>
      <c r="O96" s="555">
        <f>'anexa 4 lei'!O96/'anexa 4 lei'!$K$4</f>
        <v>0</v>
      </c>
    </row>
    <row r="97" spans="1:15" ht="29.25" customHeight="1" x14ac:dyDescent="0.2">
      <c r="A97" s="826"/>
      <c r="B97" s="828"/>
      <c r="C97" s="763" t="s">
        <v>46</v>
      </c>
      <c r="D97" s="829" t="s">
        <v>189</v>
      </c>
      <c r="E97" s="829"/>
      <c r="F97" s="763">
        <f t="shared" si="1"/>
        <v>88</v>
      </c>
      <c r="G97" s="187">
        <f>'anexa 4 lei'!G97/'anexa 4 lei'!$K$4</f>
        <v>32620.337</v>
      </c>
      <c r="H97" s="187">
        <f>'anexa 4 lei'!H97/'anexa 4 lei'!$K$4</f>
        <v>7454.6729999999998</v>
      </c>
      <c r="I97" s="187">
        <f>'anexa 4 lei'!I97/'anexa 4 lei'!$K$4</f>
        <v>8091.1360000000004</v>
      </c>
      <c r="J97" s="187">
        <f>'anexa 4 lei'!J97/'anexa 4 lei'!$K$4</f>
        <v>8068.1270000000004</v>
      </c>
      <c r="K97" s="555">
        <f>'anexa 4 lei'!K97/'anexa 4 lei'!$K$4</f>
        <v>9006.4009999999998</v>
      </c>
      <c r="L97" s="551">
        <f>'anexa 4 lei'!L97/'anexa 4 lei'!$K$4</f>
        <v>30813.977999999999</v>
      </c>
      <c r="M97" s="187">
        <f>'anexa 4 lei'!M97/'anexa 4 lei'!$K$4</f>
        <v>30821.399634000001</v>
      </c>
      <c r="N97" s="187">
        <f>'anexa 4 lei'!N97/'anexa 4 lei'!$K$4</f>
        <v>32620.337</v>
      </c>
      <c r="O97" s="555">
        <f>'anexa 4 lei'!O97/'anexa 4 lei'!$K$4</f>
        <v>0</v>
      </c>
    </row>
    <row r="98" spans="1:15" x14ac:dyDescent="0.2">
      <c r="A98" s="826"/>
      <c r="B98" s="828"/>
      <c r="C98" s="831"/>
      <c r="D98" s="830" t="s">
        <v>190</v>
      </c>
      <c r="E98" s="830"/>
      <c r="F98" s="763">
        <f t="shared" si="1"/>
        <v>89</v>
      </c>
      <c r="G98" s="187">
        <f>'anexa 4 lei'!G98/'anexa 4 lei'!$K$4</f>
        <v>28053.831999999999</v>
      </c>
      <c r="H98" s="187">
        <f>'anexa 4 lei'!H98/'anexa 4 lei'!$K$4</f>
        <v>6883.54</v>
      </c>
      <c r="I98" s="187">
        <f>'anexa 4 lei'!I98/'anexa 4 lei'!$K$4</f>
        <v>6953.49</v>
      </c>
      <c r="J98" s="187">
        <f>'anexa 4 lei'!J98/'anexa 4 lei'!$K$4</f>
        <v>7006.95</v>
      </c>
      <c r="K98" s="555">
        <f>'anexa 4 lei'!K98/'anexa 4 lei'!$K$4</f>
        <v>7209.8519999999999</v>
      </c>
      <c r="L98" s="551">
        <f>'anexa 4 lei'!L98/'anexa 4 lei'!$K$4</f>
        <v>25159.266</v>
      </c>
      <c r="M98" s="187">
        <f>'anexa 4 lei'!M98/'anexa 4 lei'!$K$4</f>
        <v>26657.445100000001</v>
      </c>
      <c r="N98" s="187">
        <f>'anexa 4 lei'!N98/'anexa 4 lei'!$K$4</f>
        <v>28053.831999999999</v>
      </c>
      <c r="O98" s="555">
        <f>'anexa 4 lei'!O98/'anexa 4 lei'!$K$4</f>
        <v>0</v>
      </c>
    </row>
    <row r="99" spans="1:15" ht="13.5" customHeight="1" x14ac:dyDescent="0.2">
      <c r="A99" s="826"/>
      <c r="B99" s="828"/>
      <c r="C99" s="831"/>
      <c r="D99" s="837" t="s">
        <v>191</v>
      </c>
      <c r="E99" s="837"/>
      <c r="F99" s="763">
        <f t="shared" si="1"/>
        <v>90</v>
      </c>
      <c r="G99" s="187">
        <f>'anexa 4 lei'!G99/'anexa 4 lei'!$K$4</f>
        <v>1438.5719999999999</v>
      </c>
      <c r="H99" s="187">
        <f>'anexa 4 lei'!H99/'anexa 4 lei'!$K$4</f>
        <v>352.762</v>
      </c>
      <c r="I99" s="187">
        <f>'anexa 4 lei'!I99/'anexa 4 lei'!$K$4</f>
        <v>356.846</v>
      </c>
      <c r="J99" s="187">
        <f>'anexa 4 lei'!J99/'anexa 4 lei'!$K$4</f>
        <v>359.38200000000001</v>
      </c>
      <c r="K99" s="555">
        <f>'anexa 4 lei'!K99/'anexa 4 lei'!$K$4</f>
        <v>369.58199999999999</v>
      </c>
      <c r="L99" s="551">
        <f>'anexa 4 lei'!L99/'anexa 4 lei'!$K$4</f>
        <v>1294.5450000000001</v>
      </c>
      <c r="M99" s="187">
        <f>'anexa 4 lei'!M99/'anexa 4 lei'!$K$4</f>
        <v>1383.3126539999998</v>
      </c>
      <c r="N99" s="187">
        <f>'anexa 4 lei'!N99/'anexa 4 lei'!$K$4</f>
        <v>1438.5719999999999</v>
      </c>
      <c r="O99" s="555">
        <f>'anexa 4 lei'!O99/'anexa 4 lei'!$K$4</f>
        <v>0</v>
      </c>
    </row>
    <row r="100" spans="1:15" x14ac:dyDescent="0.2">
      <c r="A100" s="826"/>
      <c r="B100" s="828"/>
      <c r="C100" s="831"/>
      <c r="D100" s="830" t="s">
        <v>192</v>
      </c>
      <c r="E100" s="830"/>
      <c r="F100" s="763">
        <f t="shared" si="1"/>
        <v>91</v>
      </c>
      <c r="G100" s="187">
        <f>'anexa 4 lei'!G100/'anexa 4 lei'!$K$4</f>
        <v>3127.933</v>
      </c>
      <c r="H100" s="187">
        <f>'anexa 4 lei'!H100/'anexa 4 lei'!$K$4</f>
        <v>218.37100000000001</v>
      </c>
      <c r="I100" s="187">
        <f>'anexa 4 lei'!I100/'anexa 4 lei'!$K$4</f>
        <v>780.8</v>
      </c>
      <c r="J100" s="187">
        <f>'anexa 4 lei'!J100/'anexa 4 lei'!$K$4</f>
        <v>701.79499999999996</v>
      </c>
      <c r="K100" s="555">
        <f>'anexa 4 lei'!K100/'anexa 4 lei'!$K$4</f>
        <v>1426.9670000000001</v>
      </c>
      <c r="L100" s="551">
        <f>'anexa 4 lei'!L100/'anexa 4 lei'!$K$4</f>
        <v>4360.1670000000004</v>
      </c>
      <c r="M100" s="187">
        <f>'anexa 4 lei'!M100/'anexa 4 lei'!$K$4</f>
        <v>2780.6418799999997</v>
      </c>
      <c r="N100" s="187">
        <f>'anexa 4 lei'!N100/'anexa 4 lei'!$K$4</f>
        <v>3127.933</v>
      </c>
      <c r="O100" s="555">
        <f>'anexa 4 lei'!O100/'anexa 4 lei'!$K$4</f>
        <v>0</v>
      </c>
    </row>
    <row r="101" spans="1:15" ht="33.75" customHeight="1" x14ac:dyDescent="0.2">
      <c r="A101" s="826"/>
      <c r="B101" s="828"/>
      <c r="C101" s="763" t="s">
        <v>67</v>
      </c>
      <c r="D101" s="829" t="s">
        <v>389</v>
      </c>
      <c r="E101" s="829"/>
      <c r="F101" s="763">
        <f t="shared" si="1"/>
        <v>92</v>
      </c>
      <c r="G101" s="187">
        <f>'anexa 4 lei'!G101/'anexa 4 lei'!$K$4</f>
        <v>4865.875</v>
      </c>
      <c r="H101" s="187">
        <f>'anexa 4 lei'!H101/'anexa 4 lei'!$K$4</f>
        <v>490.274</v>
      </c>
      <c r="I101" s="187">
        <f>'anexa 4 lei'!I101/'anexa 4 lei'!$K$4</f>
        <v>3278.5749999999998</v>
      </c>
      <c r="J101" s="187">
        <f>'anexa 4 lei'!J101/'anexa 4 lei'!$K$4</f>
        <v>465.65699999999998</v>
      </c>
      <c r="K101" s="555">
        <f>'anexa 4 lei'!K101/'anexa 4 lei'!$K$4</f>
        <v>631.36900000000003</v>
      </c>
      <c r="L101" s="551">
        <f>'anexa 4 lei'!L101/'anexa 4 lei'!$K$4</f>
        <v>4521.9080000000004</v>
      </c>
      <c r="M101" s="187">
        <f>'anexa 4 lei'!M101/'anexa 4 lei'!$K$4</f>
        <v>4915.8237687999999</v>
      </c>
      <c r="N101" s="187">
        <f>'anexa 4 lei'!N101/'anexa 4 lei'!$K$4</f>
        <v>4865.875</v>
      </c>
      <c r="O101" s="555">
        <f>'anexa 4 lei'!O101/'anexa 4 lei'!$K$4</f>
        <v>0</v>
      </c>
    </row>
    <row r="102" spans="1:15" ht="45" customHeight="1" x14ac:dyDescent="0.2">
      <c r="A102" s="826"/>
      <c r="B102" s="828"/>
      <c r="C102" s="763"/>
      <c r="D102" s="829" t="s">
        <v>187</v>
      </c>
      <c r="E102" s="829"/>
      <c r="F102" s="763">
        <f t="shared" si="1"/>
        <v>93</v>
      </c>
      <c r="G102" s="187">
        <f>'anexa 4 lei'!G102/'anexa 4 lei'!$K$4</f>
        <v>604.9</v>
      </c>
      <c r="H102" s="187">
        <f>'anexa 4 lei'!H102/'anexa 4 lei'!$K$4</f>
        <v>41.1</v>
      </c>
      <c r="I102" s="187">
        <f>'anexa 4 lei'!I102/'anexa 4 lei'!$K$4</f>
        <v>425</v>
      </c>
      <c r="J102" s="187">
        <f>'anexa 4 lei'!J102/'anexa 4 lei'!$K$4</f>
        <v>69.900000000000006</v>
      </c>
      <c r="K102" s="555">
        <f>'anexa 4 lei'!K102/'anexa 4 lei'!$K$4</f>
        <v>68.900000000000006</v>
      </c>
      <c r="L102" s="551">
        <f>'anexa 4 lei'!L102/'anexa 4 lei'!$K$4</f>
        <v>622.13599999999997</v>
      </c>
      <c r="M102" s="187">
        <f>'anexa 4 lei'!M102/'anexa 4 lei'!$K$4</f>
        <v>609.00271879999991</v>
      </c>
      <c r="N102" s="187">
        <f>'anexa 4 lei'!N102/'anexa 4 lei'!$K$4</f>
        <v>604.9</v>
      </c>
      <c r="O102" s="555">
        <f>'anexa 4 lei'!O102/'anexa 4 lei'!$K$4</f>
        <v>0</v>
      </c>
    </row>
    <row r="103" spans="1:15" ht="25.5" x14ac:dyDescent="0.2">
      <c r="A103" s="826"/>
      <c r="B103" s="828"/>
      <c r="C103" s="763"/>
      <c r="D103" s="763"/>
      <c r="E103" s="761" t="s">
        <v>193</v>
      </c>
      <c r="F103" s="763">
        <f t="shared" si="1"/>
        <v>94</v>
      </c>
      <c r="G103" s="187">
        <f>'anexa 4 lei'!G103/'anexa 4 lei'!$K$4</f>
        <v>0</v>
      </c>
      <c r="H103" s="187">
        <f>'anexa 4 lei'!H103/'anexa 4 lei'!$K$4</f>
        <v>0</v>
      </c>
      <c r="I103" s="187">
        <f>'anexa 4 lei'!I103/'anexa 4 lei'!$K$4</f>
        <v>0</v>
      </c>
      <c r="J103" s="187">
        <f>'anexa 4 lei'!J103/'anexa 4 lei'!$K$4</f>
        <v>0</v>
      </c>
      <c r="K103" s="555">
        <f>'anexa 4 lei'!K103/'anexa 4 lei'!$K$4</f>
        <v>0</v>
      </c>
      <c r="L103" s="551">
        <f>'anexa 4 lei'!L103/'anexa 4 lei'!$K$4</f>
        <v>0</v>
      </c>
      <c r="M103" s="187">
        <f>'anexa 4 lei'!M103/'anexa 4 lei'!$K$4</f>
        <v>0</v>
      </c>
      <c r="N103" s="187">
        <f>'anexa 4 lei'!N103/'anexa 4 lei'!$K$4</f>
        <v>0</v>
      </c>
      <c r="O103" s="555">
        <f>'anexa 4 lei'!O103/'anexa 4 lei'!$K$4</f>
        <v>0</v>
      </c>
    </row>
    <row r="104" spans="1:15" ht="25.5" x14ac:dyDescent="0.2">
      <c r="A104" s="826"/>
      <c r="B104" s="828"/>
      <c r="C104" s="763"/>
      <c r="D104" s="763"/>
      <c r="E104" s="761" t="s">
        <v>194</v>
      </c>
      <c r="F104" s="763">
        <f t="shared" si="1"/>
        <v>95</v>
      </c>
      <c r="G104" s="187">
        <f>'anexa 4 lei'!G104/'anexa 4 lei'!$K$4</f>
        <v>378.4</v>
      </c>
      <c r="H104" s="187">
        <f>'anexa 4 lei'!H104/'anexa 4 lei'!$K$4</f>
        <v>0</v>
      </c>
      <c r="I104" s="187">
        <f>'anexa 4 lei'!I104/'anexa 4 lei'!$K$4</f>
        <v>378.4</v>
      </c>
      <c r="J104" s="187">
        <f>'anexa 4 lei'!J104/'anexa 4 lei'!$K$4</f>
        <v>0</v>
      </c>
      <c r="K104" s="555">
        <f>'anexa 4 lei'!K104/'anexa 4 lei'!$K$4</f>
        <v>0</v>
      </c>
      <c r="L104" s="551">
        <f>'anexa 4 lei'!L104/'anexa 4 lei'!$K$4</f>
        <v>361.46</v>
      </c>
      <c r="M104" s="187">
        <f>'anexa 4 lei'!M104/'anexa 4 lei'!$K$4</f>
        <v>414.35</v>
      </c>
      <c r="N104" s="187">
        <f>'anexa 4 lei'!N104/'anexa 4 lei'!$K$4</f>
        <v>378.4</v>
      </c>
      <c r="O104" s="555">
        <f>'anexa 4 lei'!O104/'anexa 4 lei'!$K$4</f>
        <v>0</v>
      </c>
    </row>
    <row r="105" spans="1:15" x14ac:dyDescent="0.2">
      <c r="A105" s="826"/>
      <c r="B105" s="828"/>
      <c r="C105" s="763"/>
      <c r="D105" s="830" t="s">
        <v>74</v>
      </c>
      <c r="E105" s="830"/>
      <c r="F105" s="763">
        <f t="shared" si="1"/>
        <v>96</v>
      </c>
      <c r="G105" s="187">
        <f>'anexa 4 lei'!G105/'anexa 4 lei'!$K$4</f>
        <v>1960.9749999999999</v>
      </c>
      <c r="H105" s="187">
        <f>'anexa 4 lei'!H105/'anexa 4 lei'!$K$4</f>
        <v>449.17399999999998</v>
      </c>
      <c r="I105" s="187">
        <f>'anexa 4 lei'!I105/'anexa 4 lei'!$K$4</f>
        <v>553.57500000000005</v>
      </c>
      <c r="J105" s="187">
        <f>'anexa 4 lei'!J105/'anexa 4 lei'!$K$4</f>
        <v>395.75700000000001</v>
      </c>
      <c r="K105" s="555">
        <f>'anexa 4 lei'!K105/'anexa 4 lei'!$K$4</f>
        <v>562.46900000000005</v>
      </c>
      <c r="L105" s="551">
        <f>'anexa 4 lei'!L105/'anexa 4 lei'!$K$4</f>
        <v>1799.7719999999999</v>
      </c>
      <c r="M105" s="187">
        <f>'anexa 4 lei'!M105/'anexa 4 lei'!$K$4</f>
        <v>2006.8210499999998</v>
      </c>
      <c r="N105" s="187">
        <f>'anexa 4 lei'!N105/'anexa 4 lei'!$K$4</f>
        <v>1960.9749999999999</v>
      </c>
      <c r="O105" s="555">
        <f>'anexa 4 lei'!O105/'anexa 4 lei'!$K$4</f>
        <v>0</v>
      </c>
    </row>
    <row r="106" spans="1:15" x14ac:dyDescent="0.2">
      <c r="A106" s="826"/>
      <c r="B106" s="828"/>
      <c r="C106" s="763"/>
      <c r="D106" s="830" t="s">
        <v>195</v>
      </c>
      <c r="E106" s="830"/>
      <c r="F106" s="763">
        <f t="shared" si="1"/>
        <v>97</v>
      </c>
      <c r="G106" s="187">
        <f>'anexa 4 lei'!G106/'anexa 4 lei'!$K$4</f>
        <v>0</v>
      </c>
      <c r="H106" s="187">
        <f>'anexa 4 lei'!H106/'anexa 4 lei'!$K$4</f>
        <v>0</v>
      </c>
      <c r="I106" s="187">
        <f>'anexa 4 lei'!I106/'anexa 4 lei'!$K$4</f>
        <v>0</v>
      </c>
      <c r="J106" s="187">
        <f>'anexa 4 lei'!J106/'anexa 4 lei'!$K$4</f>
        <v>0</v>
      </c>
      <c r="K106" s="555">
        <f>'anexa 4 lei'!K106/'anexa 4 lei'!$K$4</f>
        <v>0</v>
      </c>
      <c r="L106" s="551">
        <f>'anexa 4 lei'!L106/'anexa 4 lei'!$K$4</f>
        <v>0</v>
      </c>
      <c r="M106" s="187">
        <f>'anexa 4 lei'!M106/'anexa 4 lei'!$K$4</f>
        <v>0</v>
      </c>
      <c r="N106" s="187">
        <f>'anexa 4 lei'!N106/'anexa 4 lei'!$K$4</f>
        <v>0</v>
      </c>
      <c r="O106" s="555">
        <f>'anexa 4 lei'!O106/'anexa 4 lei'!$K$4</f>
        <v>0</v>
      </c>
    </row>
    <row r="107" spans="1:15" ht="13.5" customHeight="1" x14ac:dyDescent="0.2">
      <c r="A107" s="826"/>
      <c r="B107" s="828"/>
      <c r="C107" s="763"/>
      <c r="D107" s="829" t="s">
        <v>390</v>
      </c>
      <c r="E107" s="829"/>
      <c r="F107" s="763">
        <f t="shared" si="1"/>
        <v>98</v>
      </c>
      <c r="G107" s="187">
        <f>'anexa 4 lei'!G107/'anexa 4 lei'!$K$4</f>
        <v>2300</v>
      </c>
      <c r="H107" s="187">
        <f>'anexa 4 lei'!H107/'anexa 4 lei'!$K$4</f>
        <v>0</v>
      </c>
      <c r="I107" s="187">
        <f>'anexa 4 lei'!I107/'anexa 4 lei'!$K$4</f>
        <v>2300</v>
      </c>
      <c r="J107" s="187">
        <f>'anexa 4 lei'!J107/'anexa 4 lei'!$K$4</f>
        <v>0</v>
      </c>
      <c r="K107" s="555">
        <f>'anexa 4 lei'!K107/'anexa 4 lei'!$K$4</f>
        <v>0</v>
      </c>
      <c r="L107" s="551">
        <f>'anexa 4 lei'!L107/'anexa 4 lei'!$K$4</f>
        <v>2100</v>
      </c>
      <c r="M107" s="187">
        <f>'anexa 4 lei'!M107/'anexa 4 lei'!$K$4</f>
        <v>2300</v>
      </c>
      <c r="N107" s="187">
        <f>'anexa 4 lei'!N107/'anexa 4 lei'!$K$4</f>
        <v>2300</v>
      </c>
      <c r="O107" s="555">
        <f>'anexa 4 lei'!O107/'anexa 4 lei'!$K$4</f>
        <v>0</v>
      </c>
    </row>
    <row r="108" spans="1:15" x14ac:dyDescent="0.2">
      <c r="A108" s="826"/>
      <c r="B108" s="828"/>
      <c r="C108" s="763"/>
      <c r="D108" s="830" t="s">
        <v>196</v>
      </c>
      <c r="E108" s="830"/>
      <c r="F108" s="763">
        <f t="shared" si="1"/>
        <v>99</v>
      </c>
      <c r="G108" s="187">
        <f>'anexa 4 lei'!G108/'anexa 4 lei'!$K$4</f>
        <v>0</v>
      </c>
      <c r="H108" s="187">
        <f>'anexa 4 lei'!H108/'anexa 4 lei'!$K$4</f>
        <v>0</v>
      </c>
      <c r="I108" s="187">
        <f>'anexa 4 lei'!I108/'anexa 4 lei'!$K$4</f>
        <v>0</v>
      </c>
      <c r="J108" s="187">
        <f>'anexa 4 lei'!J108/'anexa 4 lei'!$K$4</f>
        <v>0</v>
      </c>
      <c r="K108" s="555">
        <f>'anexa 4 lei'!K108/'anexa 4 lei'!$K$4</f>
        <v>0</v>
      </c>
      <c r="L108" s="551">
        <f>'anexa 4 lei'!L108/'anexa 4 lei'!$K$4</f>
        <v>0</v>
      </c>
      <c r="M108" s="187">
        <f>'anexa 4 lei'!M108/'anexa 4 lei'!$K$4</f>
        <v>0</v>
      </c>
      <c r="N108" s="187">
        <f>'anexa 4 lei'!N108/'anexa 4 lei'!$K$4</f>
        <v>0</v>
      </c>
      <c r="O108" s="555">
        <f>'anexa 4 lei'!O108/'anexa 4 lei'!$K$4</f>
        <v>0</v>
      </c>
    </row>
    <row r="109" spans="1:15" ht="32.25" customHeight="1" x14ac:dyDescent="0.2">
      <c r="A109" s="826"/>
      <c r="B109" s="828"/>
      <c r="C109" s="763" t="s">
        <v>124</v>
      </c>
      <c r="D109" s="829" t="s">
        <v>197</v>
      </c>
      <c r="E109" s="829"/>
      <c r="F109" s="763">
        <f t="shared" si="1"/>
        <v>100</v>
      </c>
      <c r="G109" s="187">
        <f>'anexa 4 lei'!G109/'anexa 4 lei'!$K$4</f>
        <v>0</v>
      </c>
      <c r="H109" s="187">
        <f>'anexa 4 lei'!H109/'anexa 4 lei'!$K$4</f>
        <v>0</v>
      </c>
      <c r="I109" s="187">
        <f>'anexa 4 lei'!I109/'anexa 4 lei'!$K$4</f>
        <v>0</v>
      </c>
      <c r="J109" s="187">
        <f>'anexa 4 lei'!J109/'anexa 4 lei'!$K$4</f>
        <v>0</v>
      </c>
      <c r="K109" s="555">
        <f>'anexa 4 lei'!K109/'anexa 4 lei'!$K$4</f>
        <v>0</v>
      </c>
      <c r="L109" s="551">
        <f>'anexa 4 lei'!L109/'anexa 4 lei'!$K$4</f>
        <v>0</v>
      </c>
      <c r="M109" s="187">
        <f>'anexa 4 lei'!M109/'anexa 4 lei'!$K$4</f>
        <v>0</v>
      </c>
      <c r="N109" s="187">
        <f>'anexa 4 lei'!N109/'anexa 4 lei'!$K$4</f>
        <v>0</v>
      </c>
      <c r="O109" s="555">
        <f>'anexa 4 lei'!O109/'anexa 4 lei'!$K$4</f>
        <v>0</v>
      </c>
    </row>
    <row r="110" spans="1:15" ht="13.5" customHeight="1" x14ac:dyDescent="0.2">
      <c r="A110" s="826"/>
      <c r="B110" s="828"/>
      <c r="C110" s="763"/>
      <c r="D110" s="837" t="s">
        <v>198</v>
      </c>
      <c r="E110" s="837"/>
      <c r="F110" s="763">
        <f t="shared" si="1"/>
        <v>101</v>
      </c>
      <c r="G110" s="187">
        <f>'anexa 4 lei'!G110/'anexa 4 lei'!$K$4</f>
        <v>0</v>
      </c>
      <c r="H110" s="187">
        <f>'anexa 4 lei'!H110/'anexa 4 lei'!$K$4</f>
        <v>0</v>
      </c>
      <c r="I110" s="187">
        <f>'anexa 4 lei'!I110/'anexa 4 lei'!$K$4</f>
        <v>0</v>
      </c>
      <c r="J110" s="187">
        <f>'anexa 4 lei'!J110/'anexa 4 lei'!$K$4</f>
        <v>0</v>
      </c>
      <c r="K110" s="555">
        <f>'anexa 4 lei'!K110/'anexa 4 lei'!$K$4</f>
        <v>0</v>
      </c>
      <c r="L110" s="551">
        <f>'anexa 4 lei'!L110/'anexa 4 lei'!$K$4</f>
        <v>0</v>
      </c>
      <c r="M110" s="187">
        <f>'anexa 4 lei'!M110/'anexa 4 lei'!$K$4</f>
        <v>0</v>
      </c>
      <c r="N110" s="187">
        <f>'anexa 4 lei'!N110/'anexa 4 lei'!$K$4</f>
        <v>0</v>
      </c>
      <c r="O110" s="555">
        <f>'anexa 4 lei'!O110/'anexa 4 lei'!$K$4</f>
        <v>0</v>
      </c>
    </row>
    <row r="111" spans="1:15" ht="13.5" customHeight="1" x14ac:dyDescent="0.2">
      <c r="A111" s="826"/>
      <c r="B111" s="828"/>
      <c r="C111" s="763"/>
      <c r="D111" s="837" t="s">
        <v>199</v>
      </c>
      <c r="E111" s="837"/>
      <c r="F111" s="763">
        <f t="shared" si="1"/>
        <v>102</v>
      </c>
      <c r="G111" s="187">
        <f>'anexa 4 lei'!G111/'anexa 4 lei'!$K$4</f>
        <v>0</v>
      </c>
      <c r="H111" s="187">
        <f>'anexa 4 lei'!H111/'anexa 4 lei'!$K$4</f>
        <v>0</v>
      </c>
      <c r="I111" s="187">
        <f>'anexa 4 lei'!I111/'anexa 4 lei'!$K$4</f>
        <v>0</v>
      </c>
      <c r="J111" s="187">
        <f>'anexa 4 lei'!J111/'anexa 4 lei'!$K$4</f>
        <v>0</v>
      </c>
      <c r="K111" s="555">
        <f>'anexa 4 lei'!K111/'anexa 4 lei'!$K$4</f>
        <v>0</v>
      </c>
      <c r="L111" s="551">
        <f>'anexa 4 lei'!L111/'anexa 4 lei'!$K$4</f>
        <v>0</v>
      </c>
      <c r="M111" s="187">
        <f>'anexa 4 lei'!M111/'anexa 4 lei'!$K$4</f>
        <v>0</v>
      </c>
      <c r="N111" s="187">
        <f>'anexa 4 lei'!N111/'anexa 4 lei'!$K$4</f>
        <v>0</v>
      </c>
      <c r="O111" s="555">
        <f>'anexa 4 lei'!O111/'anexa 4 lei'!$K$4</f>
        <v>0</v>
      </c>
    </row>
    <row r="112" spans="1:15" ht="45.75" customHeight="1" x14ac:dyDescent="0.2">
      <c r="A112" s="826"/>
      <c r="B112" s="828"/>
      <c r="C112" s="763"/>
      <c r="D112" s="837" t="s">
        <v>200</v>
      </c>
      <c r="E112" s="837"/>
      <c r="F112" s="763">
        <f t="shared" si="1"/>
        <v>103</v>
      </c>
      <c r="G112" s="187">
        <f>'anexa 4 lei'!G112/'anexa 4 lei'!$K$4</f>
        <v>0</v>
      </c>
      <c r="H112" s="187">
        <f>'anexa 4 lei'!H112/'anexa 4 lei'!$K$4</f>
        <v>0</v>
      </c>
      <c r="I112" s="187">
        <f>'anexa 4 lei'!I112/'anexa 4 lei'!$K$4</f>
        <v>0</v>
      </c>
      <c r="J112" s="187">
        <f>'anexa 4 lei'!J112/'anexa 4 lei'!$K$4</f>
        <v>0</v>
      </c>
      <c r="K112" s="555">
        <f>'anexa 4 lei'!K112/'anexa 4 lei'!$K$4</f>
        <v>0</v>
      </c>
      <c r="L112" s="551">
        <f>'anexa 4 lei'!L112/'anexa 4 lei'!$K$4</f>
        <v>0</v>
      </c>
      <c r="M112" s="187">
        <f>'anexa 4 lei'!M112/'anexa 4 lei'!$K$4</f>
        <v>0</v>
      </c>
      <c r="N112" s="187">
        <f>'anexa 4 lei'!N112/'anexa 4 lei'!$K$4</f>
        <v>0</v>
      </c>
      <c r="O112" s="555">
        <f>'anexa 4 lei'!O112/'anexa 4 lei'!$K$4</f>
        <v>0</v>
      </c>
    </row>
    <row r="113" spans="1:15" ht="47.25" customHeight="1" x14ac:dyDescent="0.2">
      <c r="A113" s="826"/>
      <c r="B113" s="828"/>
      <c r="C113" s="763" t="s">
        <v>63</v>
      </c>
      <c r="D113" s="837" t="s">
        <v>75</v>
      </c>
      <c r="E113" s="837"/>
      <c r="F113" s="763">
        <f t="shared" si="1"/>
        <v>104</v>
      </c>
      <c r="G113" s="187">
        <f>'anexa 4 lei'!G113/'anexa 4 lei'!$K$4</f>
        <v>686.55499999999995</v>
      </c>
      <c r="H113" s="187">
        <f>'anexa 4 lei'!H113/'anexa 4 lei'!$K$4</f>
        <v>155.54499999999999</v>
      </c>
      <c r="I113" s="187">
        <f>'anexa 4 lei'!I113/'anexa 4 lei'!$K$4</f>
        <v>233.54499999999999</v>
      </c>
      <c r="J113" s="187">
        <f>'anexa 4 lei'!J113/'anexa 4 lei'!$K$4</f>
        <v>155.54499999999999</v>
      </c>
      <c r="K113" s="555">
        <f>'anexa 4 lei'!K113/'anexa 4 lei'!$K$4</f>
        <v>141.91999999999999</v>
      </c>
      <c r="L113" s="551">
        <f>'anexa 4 lei'!L113/'anexa 4 lei'!$K$4</f>
        <v>557.15499999999997</v>
      </c>
      <c r="M113" s="187">
        <f>'anexa 4 lei'!M113/'anexa 4 lei'!$K$4</f>
        <v>667.19500000000005</v>
      </c>
      <c r="N113" s="187">
        <f>'anexa 4 lei'!N113/'anexa 4 lei'!$K$4</f>
        <v>686.55499999999995</v>
      </c>
      <c r="O113" s="555">
        <f>'anexa 4 lei'!O113/'anexa 4 lei'!$K$4</f>
        <v>0</v>
      </c>
    </row>
    <row r="114" spans="1:15" x14ac:dyDescent="0.2">
      <c r="A114" s="826"/>
      <c r="B114" s="828"/>
      <c r="C114" s="831"/>
      <c r="D114" s="831" t="s">
        <v>282</v>
      </c>
      <c r="E114" s="831"/>
      <c r="F114" s="763">
        <f t="shared" si="1"/>
        <v>105</v>
      </c>
      <c r="G114" s="187">
        <f>'anexa 4 lei'!G114/'anexa 4 lei'!$K$4</f>
        <v>258</v>
      </c>
      <c r="H114" s="187">
        <f>'anexa 4 lei'!H114/'anexa 4 lei'!$K$4</f>
        <v>45</v>
      </c>
      <c r="I114" s="187">
        <f>'anexa 4 lei'!I114/'anexa 4 lei'!$K$4</f>
        <v>123</v>
      </c>
      <c r="J114" s="187">
        <f>'anexa 4 lei'!J114/'anexa 4 lei'!$K$4</f>
        <v>45</v>
      </c>
      <c r="K114" s="555">
        <f>'anexa 4 lei'!K114/'anexa 4 lei'!$K$4</f>
        <v>45</v>
      </c>
      <c r="L114" s="551">
        <f>'anexa 4 lei'!L114/'anexa 4 lei'!$K$4</f>
        <v>236.072</v>
      </c>
      <c r="M114" s="187">
        <f>'anexa 4 lei'!M114/'anexa 4 lei'!$K$4</f>
        <v>236.5</v>
      </c>
      <c r="N114" s="187">
        <f>'anexa 4 lei'!N114/'anexa 4 lei'!$K$4</f>
        <v>258</v>
      </c>
      <c r="O114" s="555">
        <f>'anexa 4 lei'!O114/'anexa 4 lei'!$K$4</f>
        <v>0</v>
      </c>
    </row>
    <row r="115" spans="1:15" x14ac:dyDescent="0.2">
      <c r="A115" s="826"/>
      <c r="B115" s="828"/>
      <c r="C115" s="831"/>
      <c r="D115" s="166"/>
      <c r="E115" s="167" t="s">
        <v>414</v>
      </c>
      <c r="F115" s="763">
        <f t="shared" si="1"/>
        <v>106</v>
      </c>
      <c r="G115" s="187">
        <f>'anexa 4 lei'!G115/'anexa 4 lei'!$K$4</f>
        <v>78</v>
      </c>
      <c r="H115" s="187">
        <f>'anexa 4 lei'!H115/'anexa 4 lei'!$K$4</f>
        <v>19.5</v>
      </c>
      <c r="I115" s="187">
        <f>'anexa 4 lei'!I115/'anexa 4 lei'!$K$4</f>
        <v>19.5</v>
      </c>
      <c r="J115" s="187">
        <f>'anexa 4 lei'!J115/'anexa 4 lei'!$K$4</f>
        <v>19.5</v>
      </c>
      <c r="K115" s="555">
        <f>'anexa 4 lei'!K115/'anexa 4 lei'!$K$4</f>
        <v>19.5</v>
      </c>
      <c r="L115" s="551">
        <f>'anexa 4 lei'!L115/'anexa 4 lei'!$K$4</f>
        <v>236.072</v>
      </c>
      <c r="M115" s="187">
        <f>'anexa 4 lei'!M115/'anexa 4 lei'!$K$4</f>
        <v>79.5</v>
      </c>
      <c r="N115" s="187">
        <f>'anexa 4 lei'!N115/'anexa 4 lei'!$K$4</f>
        <v>78</v>
      </c>
      <c r="O115" s="555">
        <f>'anexa 4 lei'!O115/'anexa 4 lei'!$K$4</f>
        <v>0</v>
      </c>
    </row>
    <row r="116" spans="1:15" x14ac:dyDescent="0.2">
      <c r="A116" s="826"/>
      <c r="B116" s="828"/>
      <c r="C116" s="831"/>
      <c r="D116" s="166"/>
      <c r="E116" s="167" t="s">
        <v>415</v>
      </c>
      <c r="F116" s="763">
        <f t="shared" si="1"/>
        <v>107</v>
      </c>
      <c r="G116" s="187">
        <f>'anexa 4 lei'!G116/'anexa 4 lei'!$K$4</f>
        <v>180</v>
      </c>
      <c r="H116" s="187">
        <f>'anexa 4 lei'!H116/'anexa 4 lei'!$K$4</f>
        <v>25.5</v>
      </c>
      <c r="I116" s="187">
        <f>'anexa 4 lei'!I116/'anexa 4 lei'!$K$4</f>
        <v>103.5</v>
      </c>
      <c r="J116" s="187">
        <f>'anexa 4 lei'!J116/'anexa 4 lei'!$K$4</f>
        <v>25.5</v>
      </c>
      <c r="K116" s="555">
        <f>'anexa 4 lei'!K116/'anexa 4 lei'!$K$4</f>
        <v>25.5</v>
      </c>
      <c r="L116" s="551">
        <f>'anexa 4 lei'!L116/'anexa 4 lei'!$K$4</f>
        <v>0</v>
      </c>
      <c r="M116" s="187">
        <f>'anexa 4 lei'!M116/'anexa 4 lei'!$K$4</f>
        <v>157</v>
      </c>
      <c r="N116" s="187">
        <f>'anexa 4 lei'!N116/'anexa 4 lei'!$K$4</f>
        <v>180</v>
      </c>
      <c r="O116" s="555">
        <f>'anexa 4 lei'!O116/'anexa 4 lei'!$K$4</f>
        <v>0</v>
      </c>
    </row>
    <row r="117" spans="1:15" ht="13.5" customHeight="1" x14ac:dyDescent="0.2">
      <c r="A117" s="826"/>
      <c r="B117" s="828"/>
      <c r="C117" s="831"/>
      <c r="D117" s="829" t="s">
        <v>201</v>
      </c>
      <c r="E117" s="829"/>
      <c r="F117" s="763">
        <f t="shared" si="1"/>
        <v>108</v>
      </c>
      <c r="G117" s="187">
        <f>'anexa 4 lei'!G117/'anexa 4 lei'!$K$4</f>
        <v>333.18</v>
      </c>
      <c r="H117" s="187">
        <f>'anexa 4 lei'!H117/'anexa 4 lei'!$K$4</f>
        <v>83.295000000000002</v>
      </c>
      <c r="I117" s="187">
        <f>'anexa 4 lei'!I117/'anexa 4 lei'!$K$4</f>
        <v>83.295000000000002</v>
      </c>
      <c r="J117" s="187">
        <f>'anexa 4 lei'!J117/'anexa 4 lei'!$K$4</f>
        <v>83.295000000000002</v>
      </c>
      <c r="K117" s="555">
        <f>'anexa 4 lei'!K117/'anexa 4 lei'!$K$4</f>
        <v>83.295000000000002</v>
      </c>
      <c r="L117" s="551">
        <f>'anexa 4 lei'!L117/'anexa 4 lei'!$K$4</f>
        <v>289.45800000000003</v>
      </c>
      <c r="M117" s="187">
        <f>'anexa 4 lei'!M117/'anexa 4 lei'!$K$4</f>
        <v>307.09500000000003</v>
      </c>
      <c r="N117" s="187">
        <f>'anexa 4 lei'!N117/'anexa 4 lei'!$K$4</f>
        <v>333.18</v>
      </c>
      <c r="O117" s="555">
        <f>'anexa 4 lei'!O117/'anexa 4 lei'!$K$4</f>
        <v>0</v>
      </c>
    </row>
    <row r="118" spans="1:15" x14ac:dyDescent="0.2">
      <c r="A118" s="826"/>
      <c r="B118" s="828"/>
      <c r="C118" s="831"/>
      <c r="D118" s="166"/>
      <c r="E118" s="167" t="s">
        <v>414</v>
      </c>
      <c r="F118" s="763">
        <f t="shared" si="1"/>
        <v>109</v>
      </c>
      <c r="G118" s="187">
        <f>'anexa 4 lei'!G118/'anexa 4 lei'!$K$4</f>
        <v>265.68</v>
      </c>
      <c r="H118" s="187">
        <f>'anexa 4 lei'!H118/'anexa 4 lei'!$K$4</f>
        <v>66.42</v>
      </c>
      <c r="I118" s="187">
        <f>'anexa 4 lei'!I118/'anexa 4 lei'!$K$4</f>
        <v>66.42</v>
      </c>
      <c r="J118" s="187">
        <f>'anexa 4 lei'!J118/'anexa 4 lei'!$K$4</f>
        <v>66.42</v>
      </c>
      <c r="K118" s="555">
        <f>'anexa 4 lei'!K118/'anexa 4 lei'!$K$4</f>
        <v>66.42</v>
      </c>
      <c r="L118" s="551">
        <f>'anexa 4 lei'!L118/'anexa 4 lei'!$K$4</f>
        <v>289.45800000000003</v>
      </c>
      <c r="M118" s="187">
        <f>'anexa 4 lei'!M118/'anexa 4 lei'!$K$4</f>
        <v>243.52</v>
      </c>
      <c r="N118" s="187">
        <f>'anexa 4 lei'!N118/'anexa 4 lei'!$K$4</f>
        <v>265.68</v>
      </c>
      <c r="O118" s="555">
        <f>'anexa 4 lei'!O118/'anexa 4 lei'!$K$4</f>
        <v>0</v>
      </c>
    </row>
    <row r="119" spans="1:15" x14ac:dyDescent="0.2">
      <c r="A119" s="826"/>
      <c r="B119" s="828"/>
      <c r="C119" s="831"/>
      <c r="D119" s="166"/>
      <c r="E119" s="167" t="s">
        <v>415</v>
      </c>
      <c r="F119" s="763">
        <f t="shared" si="1"/>
        <v>110</v>
      </c>
      <c r="G119" s="187">
        <f>'anexa 4 lei'!G119/'anexa 4 lei'!$K$4</f>
        <v>67.5</v>
      </c>
      <c r="H119" s="187">
        <f>'anexa 4 lei'!H119/'anexa 4 lei'!$K$4</f>
        <v>16.875</v>
      </c>
      <c r="I119" s="187">
        <f>'anexa 4 lei'!I119/'anexa 4 lei'!$K$4</f>
        <v>16.875</v>
      </c>
      <c r="J119" s="187">
        <f>'anexa 4 lei'!J119/'anexa 4 lei'!$K$4</f>
        <v>16.875</v>
      </c>
      <c r="K119" s="555">
        <f>'anexa 4 lei'!K119/'anexa 4 lei'!$K$4</f>
        <v>16.875</v>
      </c>
      <c r="L119" s="551">
        <f>'anexa 4 lei'!L119/'anexa 4 lei'!$K$4</f>
        <v>0</v>
      </c>
      <c r="M119" s="187">
        <f>'anexa 4 lei'!M119/'anexa 4 lei'!$K$4</f>
        <v>63.575000000000003</v>
      </c>
      <c r="N119" s="187">
        <f>'anexa 4 lei'!N119/'anexa 4 lei'!$K$4</f>
        <v>67.5</v>
      </c>
      <c r="O119" s="555">
        <f>'anexa 4 lei'!O119/'anexa 4 lei'!$K$4</f>
        <v>0</v>
      </c>
    </row>
    <row r="120" spans="1:15" x14ac:dyDescent="0.2">
      <c r="A120" s="826"/>
      <c r="B120" s="828"/>
      <c r="C120" s="831"/>
      <c r="D120" s="831" t="s">
        <v>202</v>
      </c>
      <c r="E120" s="831"/>
      <c r="F120" s="763">
        <f t="shared" si="1"/>
        <v>111</v>
      </c>
      <c r="G120" s="187">
        <f>'anexa 4 lei'!G120/'anexa 4 lei'!$K$4</f>
        <v>95.375</v>
      </c>
      <c r="H120" s="187">
        <f>'anexa 4 lei'!H120/'anexa 4 lei'!$K$4</f>
        <v>27.25</v>
      </c>
      <c r="I120" s="187">
        <f>'anexa 4 lei'!I120/'anexa 4 lei'!$K$4</f>
        <v>27.25</v>
      </c>
      <c r="J120" s="187">
        <f>'anexa 4 lei'!J120/'anexa 4 lei'!$K$4</f>
        <v>27.25</v>
      </c>
      <c r="K120" s="555">
        <f>'anexa 4 lei'!K120/'anexa 4 lei'!$K$4</f>
        <v>13.625</v>
      </c>
      <c r="L120" s="551">
        <f>'anexa 4 lei'!L120/'anexa 4 lei'!$K$4</f>
        <v>31.625</v>
      </c>
      <c r="M120" s="187">
        <f>'anexa 4 lei'!M120/'anexa 4 lei'!$K$4</f>
        <v>123.6</v>
      </c>
      <c r="N120" s="187">
        <f>'anexa 4 lei'!N120/'anexa 4 lei'!$K$4</f>
        <v>95.375</v>
      </c>
      <c r="O120" s="555">
        <f>'anexa 4 lei'!O120/'anexa 4 lei'!$K$4</f>
        <v>0</v>
      </c>
    </row>
    <row r="121" spans="1:15" ht="13.5" customHeight="1" x14ac:dyDescent="0.2">
      <c r="A121" s="826"/>
      <c r="B121" s="828"/>
      <c r="C121" s="763"/>
      <c r="D121" s="829" t="s">
        <v>203</v>
      </c>
      <c r="E121" s="829"/>
      <c r="F121" s="763">
        <f t="shared" si="1"/>
        <v>112</v>
      </c>
      <c r="G121" s="187">
        <f>'anexa 4 lei'!G121/'anexa 4 lei'!$K$4</f>
        <v>0</v>
      </c>
      <c r="H121" s="187">
        <f>'anexa 4 lei'!H121/'anexa 4 lei'!$K$4</f>
        <v>0</v>
      </c>
      <c r="I121" s="187">
        <f>'anexa 4 lei'!I121/'anexa 4 lei'!$K$4</f>
        <v>0</v>
      </c>
      <c r="J121" s="187">
        <f>'anexa 4 lei'!J121/'anexa 4 lei'!$K$4</f>
        <v>0</v>
      </c>
      <c r="K121" s="555">
        <f>'anexa 4 lei'!K121/'anexa 4 lei'!$K$4</f>
        <v>0</v>
      </c>
      <c r="L121" s="551">
        <f>'anexa 4 lei'!L121/'anexa 4 lei'!$K$4</f>
        <v>0</v>
      </c>
      <c r="M121" s="187">
        <f>'anexa 4 lei'!M121/'anexa 4 lei'!$K$4</f>
        <v>0</v>
      </c>
      <c r="N121" s="187">
        <f>'anexa 4 lei'!N121/'anexa 4 lei'!$K$4</f>
        <v>0</v>
      </c>
      <c r="O121" s="555">
        <f>'anexa 4 lei'!O121/'anexa 4 lei'!$K$4</f>
        <v>0</v>
      </c>
    </row>
    <row r="122" spans="1:15" ht="60.75" customHeight="1" x14ac:dyDescent="0.2">
      <c r="A122" s="826"/>
      <c r="B122" s="828"/>
      <c r="C122" s="763" t="s">
        <v>68</v>
      </c>
      <c r="D122" s="829" t="s">
        <v>511</v>
      </c>
      <c r="E122" s="829"/>
      <c r="F122" s="763">
        <f t="shared" si="1"/>
        <v>113</v>
      </c>
      <c r="G122" s="187">
        <f>'anexa 4 lei'!G122/'anexa 4 lei'!$K$4</f>
        <v>8491.6723288800004</v>
      </c>
      <c r="H122" s="187">
        <f>'anexa 4 lei'!H122/'anexa 4 lei'!$K$4</f>
        <v>1815.34389452</v>
      </c>
      <c r="I122" s="187">
        <f>'anexa 4 lei'!I122/'anexa 4 lei'!$K$4</f>
        <v>2534.4911353399989</v>
      </c>
      <c r="J122" s="187">
        <f>'anexa 4 lei'!J122/'anexa 4 lei'!$K$4</f>
        <v>1960.28098608</v>
      </c>
      <c r="K122" s="555">
        <f>'anexa 4 lei'!K122/'anexa 4 lei'!$K$4</f>
        <v>2181.5563129400002</v>
      </c>
      <c r="L122" s="551">
        <f>'anexa 4 lei'!L122/'anexa 4 lei'!$K$4</f>
        <v>8937.0796345199997</v>
      </c>
      <c r="M122" s="187">
        <f>'anexa 4 lei'!M122/'anexa 4 lei'!$K$4</f>
        <v>9525.6385092220007</v>
      </c>
      <c r="N122" s="187">
        <f>'anexa 4 lei'!N122/'anexa 4 lei'!$K$4</f>
        <v>8491.6723288800004</v>
      </c>
      <c r="O122" s="555">
        <f>'anexa 4 lei'!O122/'anexa 4 lei'!$K$4</f>
        <v>0</v>
      </c>
    </row>
    <row r="123" spans="1:15" x14ac:dyDescent="0.2">
      <c r="A123" s="826"/>
      <c r="B123" s="828"/>
      <c r="C123" s="830"/>
      <c r="D123" s="830" t="s">
        <v>205</v>
      </c>
      <c r="E123" s="830"/>
      <c r="F123" s="763">
        <f t="shared" si="1"/>
        <v>114</v>
      </c>
      <c r="G123" s="187">
        <f>'anexa 4 lei'!G123/'anexa 4 lei'!$K$4</f>
        <v>6070.4036728800011</v>
      </c>
      <c r="H123" s="187">
        <f>'anexa 4 lei'!H123/'anexa 4 lei'!$K$4</f>
        <v>1297.8490705200002</v>
      </c>
      <c r="I123" s="187">
        <f>'anexa 4 lei'!I123/'anexa 4 lei'!$K$4</f>
        <v>1812.0128273399998</v>
      </c>
      <c r="J123" s="187">
        <f>'anexa 4 lei'!J123/'anexa 4 lei'!$K$4</f>
        <v>1401.0712900799997</v>
      </c>
      <c r="K123" s="555">
        <f>'anexa 4 lei'!K123/'anexa 4 lei'!$K$4</f>
        <v>1559.47048494</v>
      </c>
      <c r="L123" s="551">
        <f>'anexa 4 lei'!L123/'anexa 4 lei'!$K$4</f>
        <v>6668.9420105199997</v>
      </c>
      <c r="M123" s="187">
        <f>'anexa 4 lei'!M123/'anexa 4 lei'!$K$4</f>
        <v>7149.0347853100002</v>
      </c>
      <c r="N123" s="187">
        <f>'anexa 4 lei'!N123/'anexa 4 lei'!$K$4</f>
        <v>6070.4036728800011</v>
      </c>
      <c r="O123" s="555">
        <f>'anexa 4 lei'!O123/'anexa 4 lei'!$K$4</f>
        <v>0</v>
      </c>
    </row>
    <row r="124" spans="1:15" x14ac:dyDescent="0.2">
      <c r="A124" s="826"/>
      <c r="B124" s="828"/>
      <c r="C124" s="830"/>
      <c r="D124" s="830" t="s">
        <v>206</v>
      </c>
      <c r="E124" s="830"/>
      <c r="F124" s="763">
        <f t="shared" si="1"/>
        <v>115</v>
      </c>
      <c r="G124" s="187">
        <f>'anexa 4 lei'!G124/'anexa 4 lei'!$K$4</f>
        <v>267.05168999999995</v>
      </c>
      <c r="H124" s="187">
        <f>'anexa 4 lei'!H124/'anexa 4 lei'!$K$4</f>
        <v>57.076635000000003</v>
      </c>
      <c r="I124" s="187">
        <f>'anexa 4 lei'!I124/'anexa 4 lei'!$K$4</f>
        <v>79.685107499999987</v>
      </c>
      <c r="J124" s="187">
        <f>'anexa 4 lei'!J124/'anexa 4 lei'!$K$4</f>
        <v>61.677539999999993</v>
      </c>
      <c r="K124" s="555">
        <f>'anexa 4 lei'!K124/'anexa 4 lei'!$K$4</f>
        <v>68.612407499999989</v>
      </c>
      <c r="L124" s="551">
        <f>'anexa 4 lei'!L124/'anexa 4 lei'!$K$4</f>
        <v>243.136135</v>
      </c>
      <c r="M124" s="187">
        <f>'anexa 4 lei'!M124/'anexa 4 lei'!$K$4</f>
        <v>364.89860525500006</v>
      </c>
      <c r="N124" s="187">
        <f>'anexa 4 lei'!N124/'anexa 4 lei'!$K$4</f>
        <v>267.05168999999995</v>
      </c>
      <c r="O124" s="555">
        <f>'anexa 4 lei'!O124/'anexa 4 lei'!$K$4</f>
        <v>0</v>
      </c>
    </row>
    <row r="125" spans="1:15" ht="13.5" customHeight="1" x14ac:dyDescent="0.2">
      <c r="A125" s="826"/>
      <c r="B125" s="828"/>
      <c r="C125" s="830"/>
      <c r="D125" s="837" t="s">
        <v>207</v>
      </c>
      <c r="E125" s="837"/>
      <c r="F125" s="763">
        <f t="shared" si="1"/>
        <v>116</v>
      </c>
      <c r="G125" s="187">
        <f>'anexa 4 lei'!G125/'anexa 4 lei'!$K$4</f>
        <v>2154.2169659999995</v>
      </c>
      <c r="H125" s="187">
        <f>'anexa 4 lei'!H125/'anexa 4 lei'!$K$4</f>
        <v>460.41818900000004</v>
      </c>
      <c r="I125" s="187">
        <f>'anexa 4 lei'!I125/'anexa 4 lei'!$K$4</f>
        <v>642.7932004999999</v>
      </c>
      <c r="J125" s="187">
        <f>'anexa 4 lei'!J125/'anexa 4 lei'!$K$4</f>
        <v>497.53215599999999</v>
      </c>
      <c r="K125" s="555">
        <f>'anexa 4 lei'!K125/'anexa 4 lei'!$K$4</f>
        <v>553.47342049999997</v>
      </c>
      <c r="L125" s="551">
        <f>'anexa 4 lei'!L125/'anexa 4 lei'!$K$4</f>
        <v>2025.001489</v>
      </c>
      <c r="M125" s="187">
        <f>'anexa 4 lei'!M125/'anexa 4 lei'!$K$4</f>
        <v>2011.7051186570002</v>
      </c>
      <c r="N125" s="187">
        <f>'anexa 4 lei'!N125/'anexa 4 lei'!$K$4</f>
        <v>2154.2169659999995</v>
      </c>
      <c r="O125" s="555">
        <f>'anexa 4 lei'!O125/'anexa 4 lei'!$K$4</f>
        <v>0</v>
      </c>
    </row>
    <row r="126" spans="1:15" ht="13.5" customHeight="1" x14ac:dyDescent="0.2">
      <c r="A126" s="826"/>
      <c r="B126" s="828"/>
      <c r="C126" s="830"/>
      <c r="D126" s="837" t="s">
        <v>208</v>
      </c>
      <c r="E126" s="837"/>
      <c r="F126" s="763">
        <f t="shared" si="1"/>
        <v>117</v>
      </c>
      <c r="G126" s="187">
        <f>'anexa 4 lei'!G126/'anexa 4 lei'!$K$4</f>
        <v>0</v>
      </c>
      <c r="H126" s="187">
        <f>'anexa 4 lei'!H126/'anexa 4 lei'!$K$4</f>
        <v>0</v>
      </c>
      <c r="I126" s="187">
        <f>'anexa 4 lei'!I126/'anexa 4 lei'!$K$4</f>
        <v>0</v>
      </c>
      <c r="J126" s="187">
        <f>'anexa 4 lei'!J126/'anexa 4 lei'!$K$4</f>
        <v>0</v>
      </c>
      <c r="K126" s="555">
        <f>'anexa 4 lei'!K126/'anexa 4 lei'!$K$4</f>
        <v>0</v>
      </c>
      <c r="L126" s="551">
        <f>'anexa 4 lei'!L126/'anexa 4 lei'!$K$4</f>
        <v>0</v>
      </c>
      <c r="M126" s="187">
        <f>'anexa 4 lei'!M126/'anexa 4 lei'!$K$4</f>
        <v>0</v>
      </c>
      <c r="N126" s="187">
        <f>'anexa 4 lei'!N126/'anexa 4 lei'!$K$4</f>
        <v>0</v>
      </c>
      <c r="O126" s="555">
        <f>'anexa 4 lei'!O126/'anexa 4 lei'!$K$4</f>
        <v>0</v>
      </c>
    </row>
    <row r="127" spans="1:15" x14ac:dyDescent="0.2">
      <c r="A127" s="826"/>
      <c r="B127" s="828"/>
      <c r="C127" s="830"/>
      <c r="D127" s="830" t="s">
        <v>209</v>
      </c>
      <c r="E127" s="830"/>
      <c r="F127" s="763">
        <f t="shared" si="1"/>
        <v>118</v>
      </c>
      <c r="G127" s="187">
        <f>'anexa 4 lei'!G127/'anexa 4 lei'!$K$4</f>
        <v>0</v>
      </c>
      <c r="H127" s="187">
        <f>'anexa 4 lei'!H127/'anexa 4 lei'!$K$4</f>
        <v>0</v>
      </c>
      <c r="I127" s="187">
        <f>'anexa 4 lei'!I127/'anexa 4 lei'!$K$4</f>
        <v>0</v>
      </c>
      <c r="J127" s="187">
        <f>'anexa 4 lei'!J127/'anexa 4 lei'!$K$4</f>
        <v>0</v>
      </c>
      <c r="K127" s="555">
        <f>'anexa 4 lei'!K127/'anexa 4 lei'!$K$4</f>
        <v>0</v>
      </c>
      <c r="L127" s="551">
        <f>'anexa 4 lei'!L127/'anexa 4 lei'!$K$4</f>
        <v>0</v>
      </c>
      <c r="M127" s="187">
        <f>'anexa 4 lei'!M127/'anexa 4 lei'!$K$4</f>
        <v>0</v>
      </c>
      <c r="N127" s="187">
        <f>'anexa 4 lei'!N127/'anexa 4 lei'!$K$4</f>
        <v>0</v>
      </c>
      <c r="O127" s="555">
        <f>'anexa 4 lei'!O127/'anexa 4 lei'!$K$4</f>
        <v>0</v>
      </c>
    </row>
    <row r="128" spans="1:15" x14ac:dyDescent="0.2">
      <c r="A128" s="826"/>
      <c r="B128" s="828"/>
      <c r="C128" s="830"/>
      <c r="D128" s="830" t="s">
        <v>210</v>
      </c>
      <c r="E128" s="830"/>
      <c r="F128" s="763">
        <f t="shared" si="1"/>
        <v>119</v>
      </c>
      <c r="G128" s="187">
        <f>'anexa 4 lei'!G128/'anexa 4 lei'!$K$4</f>
        <v>0</v>
      </c>
      <c r="H128" s="187">
        <f>'anexa 4 lei'!H128/'anexa 4 lei'!$K$4</f>
        <v>0</v>
      </c>
      <c r="I128" s="187">
        <f>'anexa 4 lei'!I128/'anexa 4 lei'!$K$4</f>
        <v>0</v>
      </c>
      <c r="J128" s="187">
        <f>'anexa 4 lei'!J128/'anexa 4 lei'!$K$4</f>
        <v>0</v>
      </c>
      <c r="K128" s="555">
        <f>'anexa 4 lei'!K128/'anexa 4 lei'!$K$4</f>
        <v>0</v>
      </c>
      <c r="L128" s="551">
        <f>'anexa 4 lei'!L128/'anexa 4 lei'!$K$4</f>
        <v>0</v>
      </c>
      <c r="M128" s="187">
        <f>'anexa 4 lei'!M128/'anexa 4 lei'!$K$4</f>
        <v>0</v>
      </c>
      <c r="N128" s="187">
        <f>'anexa 4 lei'!N128/'anexa 4 lei'!$K$4</f>
        <v>0</v>
      </c>
      <c r="O128" s="555">
        <f>'anexa 4 lei'!O128/'anexa 4 lei'!$K$4</f>
        <v>0</v>
      </c>
    </row>
    <row r="129" spans="1:15" ht="49.5" customHeight="1" x14ac:dyDescent="0.2">
      <c r="A129" s="826"/>
      <c r="B129" s="828"/>
      <c r="C129" s="837" t="s">
        <v>469</v>
      </c>
      <c r="D129" s="837"/>
      <c r="E129" s="837"/>
      <c r="F129" s="763">
        <f t="shared" si="1"/>
        <v>120</v>
      </c>
      <c r="G129" s="187">
        <f>'anexa 4 lei'!G129/'anexa 4 lei'!$K$4</f>
        <v>9352.6036100000001</v>
      </c>
      <c r="H129" s="187">
        <f>'anexa 4 lei'!H129/'anexa 4 lei'!$K$4</f>
        <v>1725.0924</v>
      </c>
      <c r="I129" s="187">
        <f>'anexa 4 lei'!I129/'anexa 4 lei'!$K$4</f>
        <v>-474.02791999999999</v>
      </c>
      <c r="J129" s="187">
        <f>'anexa 4 lei'!J129/'anexa 4 lei'!$K$4</f>
        <v>1852.5291299999999</v>
      </c>
      <c r="K129" s="555">
        <f>'anexa 4 lei'!K129/'anexa 4 lei'!$K$4</f>
        <v>6249.01</v>
      </c>
      <c r="L129" s="551">
        <f>'anexa 4 lei'!L129/'anexa 4 lei'!$K$4</f>
        <v>11060.724</v>
      </c>
      <c r="M129" s="187">
        <f>'anexa 4 lei'!M129/'anexa 4 lei'!$K$4</f>
        <v>13228.330763439999</v>
      </c>
      <c r="N129" s="187">
        <f>'anexa 4 lei'!N129/'anexa 4 lei'!$K$4</f>
        <v>9352.6036100000001</v>
      </c>
      <c r="O129" s="555">
        <f>'anexa 4 lei'!O129/'anexa 4 lei'!$K$4</f>
        <v>0</v>
      </c>
    </row>
    <row r="130" spans="1:15" ht="13.5" customHeight="1" x14ac:dyDescent="0.2">
      <c r="A130" s="826"/>
      <c r="B130" s="828"/>
      <c r="C130" s="764" t="s">
        <v>27</v>
      </c>
      <c r="D130" s="837" t="s">
        <v>470</v>
      </c>
      <c r="E130" s="837"/>
      <c r="F130" s="763">
        <f t="shared" si="1"/>
        <v>121</v>
      </c>
      <c r="G130" s="187">
        <f>'anexa 4 lei'!G130/'anexa 4 lei'!$K$4</f>
        <v>165.87952999999999</v>
      </c>
      <c r="H130" s="187">
        <f>'anexa 4 lei'!H130/'anexa 4 lei'!$K$4</f>
        <v>45.081339999999997</v>
      </c>
      <c r="I130" s="187">
        <f>'anexa 4 lei'!I130/'anexa 4 lei'!$K$4</f>
        <v>39.776669999999996</v>
      </c>
      <c r="J130" s="187">
        <f>'anexa 4 lei'!J130/'anexa 4 lei'!$K$4</f>
        <v>38.681519999999999</v>
      </c>
      <c r="K130" s="555">
        <f>'anexa 4 lei'!K130/'anexa 4 lei'!$K$4</f>
        <v>42.34</v>
      </c>
      <c r="L130" s="551">
        <f>'anexa 4 lei'!L130/'anexa 4 lei'!$K$4</f>
        <v>230.697</v>
      </c>
      <c r="M130" s="187">
        <f>'anexa 4 lei'!M130/'anexa 4 lei'!$K$4</f>
        <v>36.223928730400004</v>
      </c>
      <c r="N130" s="187">
        <f>'anexa 4 lei'!N130/'anexa 4 lei'!$K$4</f>
        <v>165.87952999999999</v>
      </c>
      <c r="O130" s="555">
        <f>'anexa 4 lei'!O130/'anexa 4 lei'!$K$4</f>
        <v>0</v>
      </c>
    </row>
    <row r="131" spans="1:15" x14ac:dyDescent="0.2">
      <c r="A131" s="826"/>
      <c r="B131" s="828"/>
      <c r="C131" s="764"/>
      <c r="D131" s="830" t="s">
        <v>211</v>
      </c>
      <c r="E131" s="830"/>
      <c r="F131" s="763">
        <f t="shared" si="1"/>
        <v>122</v>
      </c>
      <c r="G131" s="187">
        <f>'anexa 4 lei'!G131/'anexa 4 lei'!$K$4</f>
        <v>80</v>
      </c>
      <c r="H131" s="187">
        <f>'anexa 4 lei'!H131/'anexa 4 lei'!$K$4</f>
        <v>20</v>
      </c>
      <c r="I131" s="187">
        <f>'anexa 4 lei'!I131/'anexa 4 lei'!$K$4</f>
        <v>20</v>
      </c>
      <c r="J131" s="187">
        <f>'anexa 4 lei'!J131/'anexa 4 lei'!$K$4</f>
        <v>20</v>
      </c>
      <c r="K131" s="555">
        <f>'anexa 4 lei'!K131/'anexa 4 lei'!$K$4</f>
        <v>20</v>
      </c>
      <c r="L131" s="551">
        <f>'anexa 4 lei'!L131/'anexa 4 lei'!$K$4</f>
        <v>125.518</v>
      </c>
      <c r="M131" s="187">
        <f>'anexa 4 lei'!M131/'anexa 4 lei'!$K$4</f>
        <v>20</v>
      </c>
      <c r="N131" s="187">
        <f>'anexa 4 lei'!N131/'anexa 4 lei'!$K$4</f>
        <v>80</v>
      </c>
      <c r="O131" s="555">
        <f>'anexa 4 lei'!O131/'anexa 4 lei'!$K$4</f>
        <v>0</v>
      </c>
    </row>
    <row r="132" spans="1:15" x14ac:dyDescent="0.2">
      <c r="A132" s="826"/>
      <c r="B132" s="828"/>
      <c r="C132" s="764"/>
      <c r="D132" s="830" t="s">
        <v>212</v>
      </c>
      <c r="E132" s="830"/>
      <c r="F132" s="763">
        <f t="shared" si="1"/>
        <v>123</v>
      </c>
      <c r="G132" s="187">
        <f>'anexa 4 lei'!G132/'anexa 4 lei'!$K$4</f>
        <v>85.879530000000003</v>
      </c>
      <c r="H132" s="187">
        <f>'anexa 4 lei'!H132/'anexa 4 lei'!$K$4</f>
        <v>25.081340000000001</v>
      </c>
      <c r="I132" s="187">
        <f>'anexa 4 lei'!I132/'anexa 4 lei'!$K$4</f>
        <v>19.776669999999999</v>
      </c>
      <c r="J132" s="187">
        <f>'anexa 4 lei'!J132/'anexa 4 lei'!$K$4</f>
        <v>18.681519999999999</v>
      </c>
      <c r="K132" s="555">
        <f>'anexa 4 lei'!K132/'anexa 4 lei'!$K$4</f>
        <v>22.34</v>
      </c>
      <c r="L132" s="551">
        <f>'anexa 4 lei'!L132/'anexa 4 lei'!$K$4</f>
        <v>105.179</v>
      </c>
      <c r="M132" s="187">
        <f>'anexa 4 lei'!M132/'anexa 4 lei'!$K$4</f>
        <v>16.223928730399997</v>
      </c>
      <c r="N132" s="187">
        <f>'anexa 4 lei'!N132/'anexa 4 lei'!$K$4</f>
        <v>85.879530000000003</v>
      </c>
      <c r="O132" s="555">
        <f>'anexa 4 lei'!O132/'anexa 4 lei'!$K$4</f>
        <v>0</v>
      </c>
    </row>
    <row r="133" spans="1:15" ht="13.5" thickBot="1" x14ac:dyDescent="0.25">
      <c r="A133" s="826"/>
      <c r="B133" s="828"/>
      <c r="C133" s="764" t="s">
        <v>38</v>
      </c>
      <c r="D133" s="830" t="s">
        <v>213</v>
      </c>
      <c r="E133" s="830"/>
      <c r="F133" s="763">
        <f t="shared" si="1"/>
        <v>124</v>
      </c>
      <c r="G133" s="187">
        <f>'anexa 4 lei'!G133/'anexa 4 lei'!$K$4</f>
        <v>0</v>
      </c>
      <c r="H133" s="187">
        <f>'anexa 4 lei'!H133/'anexa 4 lei'!$K$4</f>
        <v>0</v>
      </c>
      <c r="I133" s="187">
        <f>'anexa 4 lei'!I133/'anexa 4 lei'!$K$4</f>
        <v>0</v>
      </c>
      <c r="J133" s="187">
        <f>'anexa 4 lei'!J133/'anexa 4 lei'!$K$4</f>
        <v>0</v>
      </c>
      <c r="K133" s="555">
        <f>'anexa 4 lei'!K133/'anexa 4 lei'!$K$4</f>
        <v>0</v>
      </c>
      <c r="L133" s="551">
        <f>'anexa 4 lei'!L133/'anexa 4 lei'!$K$4</f>
        <v>1.3280000000000001</v>
      </c>
      <c r="M133" s="187">
        <f>'anexa 4 lei'!M133/'anexa 4 lei'!$K$4</f>
        <v>30</v>
      </c>
      <c r="N133" s="187">
        <f>'anexa 4 lei'!N133/'anexa 4 lei'!$K$4</f>
        <v>0</v>
      </c>
      <c r="O133" s="555">
        <f>'anexa 4 lei'!O133/'anexa 4 lei'!$K$4</f>
        <v>0</v>
      </c>
    </row>
    <row r="134" spans="1:15" ht="13.5" customHeight="1" x14ac:dyDescent="0.2">
      <c r="A134" s="832"/>
      <c r="B134" s="828"/>
      <c r="C134" s="764" t="s">
        <v>40</v>
      </c>
      <c r="D134" s="837" t="s">
        <v>287</v>
      </c>
      <c r="E134" s="837"/>
      <c r="F134" s="763">
        <f t="shared" si="1"/>
        <v>125</v>
      </c>
      <c r="G134" s="187">
        <f>'anexa 4 lei'!G134/'anexa 4 lei'!$K$4</f>
        <v>0</v>
      </c>
      <c r="H134" s="187">
        <f>'anexa 4 lei'!H134/'anexa 4 lei'!$K$4</f>
        <v>0</v>
      </c>
      <c r="I134" s="187">
        <f>'anexa 4 lei'!I134/'anexa 4 lei'!$K$4</f>
        <v>0</v>
      </c>
      <c r="J134" s="187">
        <f>'anexa 4 lei'!J134/'anexa 4 lei'!$K$4</f>
        <v>0</v>
      </c>
      <c r="K134" s="555">
        <f>'anexa 4 lei'!K134/'anexa 4 lei'!$K$4</f>
        <v>0</v>
      </c>
      <c r="L134" s="551">
        <f>'anexa 4 lei'!L134/'anexa 4 lei'!$K$4</f>
        <v>0</v>
      </c>
      <c r="M134" s="187">
        <f>'anexa 4 lei'!M134/'anexa 4 lei'!$K$4</f>
        <v>0</v>
      </c>
      <c r="N134" s="187">
        <f>'anexa 4 lei'!N134/'anexa 4 lei'!$K$4</f>
        <v>0</v>
      </c>
      <c r="O134" s="555">
        <f>'anexa 4 lei'!O134/'anexa 4 lei'!$K$4</f>
        <v>0</v>
      </c>
    </row>
    <row r="135" spans="1:15" x14ac:dyDescent="0.2">
      <c r="A135" s="826"/>
      <c r="B135" s="828"/>
      <c r="C135" s="764" t="s">
        <v>42</v>
      </c>
      <c r="D135" s="830" t="s">
        <v>149</v>
      </c>
      <c r="E135" s="830"/>
      <c r="F135" s="763">
        <f t="shared" si="1"/>
        <v>126</v>
      </c>
      <c r="G135" s="187">
        <f>'anexa 4 lei'!G135/'anexa 4 lei'!$K$4</f>
        <v>0.40449000000000002</v>
      </c>
      <c r="H135" s="187">
        <f>'anexa 4 lei'!H135/'anexa 4 lei'!$K$4</f>
        <v>0.10149</v>
      </c>
      <c r="I135" s="187">
        <f>'anexa 4 lei'!I135/'anexa 4 lei'!$K$4</f>
        <v>0.10100000000000001</v>
      </c>
      <c r="J135" s="187">
        <f>'anexa 4 lei'!J135/'anexa 4 lei'!$K$4</f>
        <v>0.10100000000000001</v>
      </c>
      <c r="K135" s="555">
        <f>'anexa 4 lei'!K135/'anexa 4 lei'!$K$4</f>
        <v>0.10100000000000001</v>
      </c>
      <c r="L135" s="551">
        <f>'anexa 4 lei'!L135/'anexa 4 lei'!$K$4</f>
        <v>303.358</v>
      </c>
      <c r="M135" s="187">
        <f>'anexa 4 lei'!M135/'anexa 4 lei'!$K$4</f>
        <v>422.92705685299995</v>
      </c>
      <c r="N135" s="187">
        <f>'anexa 4 lei'!N135/'anexa 4 lei'!$K$4</f>
        <v>0.40449000000000002</v>
      </c>
      <c r="O135" s="555">
        <f>'anexa 4 lei'!O135/'anexa 4 lei'!$K$4</f>
        <v>0</v>
      </c>
    </row>
    <row r="136" spans="1:15" ht="13.5" customHeight="1" x14ac:dyDescent="0.2">
      <c r="A136" s="826"/>
      <c r="B136" s="828"/>
      <c r="C136" s="764" t="s">
        <v>28</v>
      </c>
      <c r="D136" s="837" t="s">
        <v>288</v>
      </c>
      <c r="E136" s="837"/>
      <c r="F136" s="763">
        <f t="shared" si="1"/>
        <v>127</v>
      </c>
      <c r="G136" s="187">
        <f>'anexa 4 lei'!G136/'anexa 4 lei'!$K$4</f>
        <v>7816.8031900000005</v>
      </c>
      <c r="H136" s="187">
        <f>'anexa 4 lei'!H136/'anexa 4 lei'!$K$4</f>
        <v>1825.8507299999999</v>
      </c>
      <c r="I136" s="187">
        <f>'anexa 4 lei'!I136/'anexa 4 lei'!$K$4</f>
        <v>1886.3507299999999</v>
      </c>
      <c r="J136" s="187">
        <f>'anexa 4 lei'!J136/'anexa 4 lei'!$K$4</f>
        <v>1916.3507299999999</v>
      </c>
      <c r="K136" s="555">
        <f>'anexa 4 lei'!K136/'anexa 4 lei'!$K$4</f>
        <v>2188.2510000000002</v>
      </c>
      <c r="L136" s="551">
        <f>'anexa 4 lei'!L136/'anexa 4 lei'!$K$4</f>
        <v>7099.0959999999995</v>
      </c>
      <c r="M136" s="187">
        <f>'anexa 4 lei'!M136/'anexa 4 lei'!$K$4</f>
        <v>9585.2944278565974</v>
      </c>
      <c r="N136" s="187">
        <f>'anexa 4 lei'!N136/'anexa 4 lei'!$K$4</f>
        <v>7816.8031900000005</v>
      </c>
      <c r="O136" s="555">
        <f>'anexa 4 lei'!O136/'anexa 4 lei'!$K$4</f>
        <v>0</v>
      </c>
    </row>
    <row r="137" spans="1:15" ht="36" customHeight="1" x14ac:dyDescent="0.2">
      <c r="A137" s="826"/>
      <c r="B137" s="828"/>
      <c r="C137" s="764" t="s">
        <v>34</v>
      </c>
      <c r="D137" s="837" t="s">
        <v>345</v>
      </c>
      <c r="E137" s="837"/>
      <c r="F137" s="763">
        <f t="shared" si="1"/>
        <v>128</v>
      </c>
      <c r="G137" s="187">
        <f>'anexa 4 lei'!G137/'anexa 4 lei'!$K$4</f>
        <v>1369.5164</v>
      </c>
      <c r="H137" s="187">
        <f>'anexa 4 lei'!H137/'anexa 4 lei'!$K$4</f>
        <v>-145.94116</v>
      </c>
      <c r="I137" s="187">
        <f>'anexa 4 lei'!I137/'anexa 4 lei'!$K$4</f>
        <v>-2400.25632</v>
      </c>
      <c r="J137" s="187">
        <f>'anexa 4 lei'!J137/'anexa 4 lei'!$K$4</f>
        <v>-102.60411999999999</v>
      </c>
      <c r="K137" s="555">
        <f>'anexa 4 lei'!K137/'anexa 4 lei'!$K$4</f>
        <v>4018.3180000000002</v>
      </c>
      <c r="L137" s="551">
        <f>'anexa 4 lei'!L137/'anexa 4 lei'!$K$4</f>
        <v>3426.2449999999999</v>
      </c>
      <c r="M137" s="187">
        <f>'anexa 4 lei'!M137/'anexa 4 lei'!$K$4</f>
        <v>3153.88535</v>
      </c>
      <c r="N137" s="187">
        <f>'anexa 4 lei'!N137/'anexa 4 lei'!$K$4</f>
        <v>1369.5164</v>
      </c>
      <c r="O137" s="555">
        <f>'anexa 4 lei'!O137/'anexa 4 lei'!$K$4</f>
        <v>0</v>
      </c>
    </row>
    <row r="138" spans="1:15" ht="28.5" customHeight="1" x14ac:dyDescent="0.2">
      <c r="A138" s="826"/>
      <c r="B138" s="762"/>
      <c r="C138" s="763"/>
      <c r="D138" s="763" t="s">
        <v>51</v>
      </c>
      <c r="E138" s="764" t="s">
        <v>460</v>
      </c>
      <c r="F138" s="763">
        <f t="shared" si="1"/>
        <v>129</v>
      </c>
      <c r="G138" s="187">
        <f>'anexa 4 lei'!G138/'anexa 4 lei'!$K$4</f>
        <v>4460</v>
      </c>
      <c r="H138" s="187">
        <f>'anexa 4 lei'!H138/'anexa 4 lei'!$K$4</f>
        <v>0</v>
      </c>
      <c r="I138" s="187">
        <f>'anexa 4 lei'!I138/'anexa 4 lei'!$K$4</f>
        <v>0</v>
      </c>
      <c r="J138" s="187">
        <f>'anexa 4 lei'!J138/'anexa 4 lei'!$K$4</f>
        <v>0</v>
      </c>
      <c r="K138" s="555">
        <f>'anexa 4 lei'!K138/'anexa 4 lei'!$K$4</f>
        <v>4460</v>
      </c>
      <c r="L138" s="551">
        <f>'anexa 4 lei'!L138/'anexa 4 lei'!$K$4</f>
        <v>7000</v>
      </c>
      <c r="M138" s="187">
        <f>'anexa 4 lei'!M138/'anexa 4 lei'!$K$4</f>
        <v>6420</v>
      </c>
      <c r="N138" s="187">
        <f>'anexa 4 lei'!N138/'anexa 4 lei'!$K$4</f>
        <v>4460</v>
      </c>
      <c r="O138" s="555">
        <f>'anexa 4 lei'!O138/'anexa 4 lei'!$K$4</f>
        <v>0</v>
      </c>
    </row>
    <row r="139" spans="1:15" x14ac:dyDescent="0.2">
      <c r="A139" s="826"/>
      <c r="B139" s="762"/>
      <c r="C139" s="763"/>
      <c r="D139" s="161" t="s">
        <v>416</v>
      </c>
      <c r="E139" s="167" t="s">
        <v>417</v>
      </c>
      <c r="F139" s="763">
        <f t="shared" si="1"/>
        <v>130</v>
      </c>
      <c r="G139" s="187">
        <f>'anexa 4 lei'!G139/'anexa 4 lei'!$K$4</f>
        <v>2300</v>
      </c>
      <c r="H139" s="187">
        <f>'anexa 4 lei'!H139/'anexa 4 lei'!$K$4</f>
        <v>0</v>
      </c>
      <c r="I139" s="187">
        <f>'anexa 4 lei'!I139/'anexa 4 lei'!$K$4</f>
        <v>0</v>
      </c>
      <c r="J139" s="187">
        <f>'anexa 4 lei'!J139/'anexa 4 lei'!$K$4</f>
        <v>0</v>
      </c>
      <c r="K139" s="555">
        <f>'anexa 4 lei'!K139/'anexa 4 lei'!$K$4</f>
        <v>2300</v>
      </c>
      <c r="L139" s="551">
        <f>'anexa 4 lei'!L139/'anexa 4 lei'!$K$4</f>
        <v>2300</v>
      </c>
      <c r="M139" s="187">
        <f>'anexa 4 lei'!M139/'anexa 4 lei'!$K$4</f>
        <v>2300</v>
      </c>
      <c r="N139" s="187">
        <f>'anexa 4 lei'!N139/'anexa 4 lei'!$K$4</f>
        <v>2300</v>
      </c>
      <c r="O139" s="555">
        <f>'anexa 4 lei'!O139/'anexa 4 lei'!$K$4</f>
        <v>0</v>
      </c>
    </row>
    <row r="140" spans="1:15" x14ac:dyDescent="0.2">
      <c r="A140" s="826"/>
      <c r="B140" s="762"/>
      <c r="C140" s="763"/>
      <c r="D140" s="161" t="s">
        <v>418</v>
      </c>
      <c r="E140" s="167" t="s">
        <v>419</v>
      </c>
      <c r="F140" s="158" t="s">
        <v>420</v>
      </c>
      <c r="G140" s="187">
        <f>'anexa 4 lei'!G140/'anexa 4 lei'!$K$4</f>
        <v>0</v>
      </c>
      <c r="H140" s="187">
        <f>'anexa 4 lei'!H140/'anexa 4 lei'!$K$4</f>
        <v>0</v>
      </c>
      <c r="I140" s="187">
        <f>'anexa 4 lei'!I140/'anexa 4 lei'!$K$4</f>
        <v>0</v>
      </c>
      <c r="J140" s="187">
        <f>'anexa 4 lei'!J140/'anexa 4 lei'!$K$4</f>
        <v>0</v>
      </c>
      <c r="K140" s="555">
        <f>'anexa 4 lei'!K140/'anexa 4 lei'!$K$4</f>
        <v>0</v>
      </c>
      <c r="L140" s="551">
        <f>'anexa 4 lei'!L140/'anexa 4 lei'!$K$4</f>
        <v>0</v>
      </c>
      <c r="M140" s="187">
        <f>'anexa 4 lei'!M140/'anexa 4 lei'!$K$4</f>
        <v>0</v>
      </c>
      <c r="N140" s="187">
        <f>'anexa 4 lei'!N140/'anexa 4 lei'!$K$4</f>
        <v>0</v>
      </c>
      <c r="O140" s="555">
        <f>'anexa 4 lei'!O140/'anexa 4 lei'!$K$4</f>
        <v>0</v>
      </c>
    </row>
    <row r="141" spans="1:15" ht="34.5" customHeight="1" x14ac:dyDescent="0.2">
      <c r="A141" s="826"/>
      <c r="B141" s="762"/>
      <c r="C141" s="763"/>
      <c r="D141" s="208" t="s">
        <v>52</v>
      </c>
      <c r="E141" s="761" t="s">
        <v>346</v>
      </c>
      <c r="F141" s="763">
        <v>131</v>
      </c>
      <c r="G141" s="187">
        <f>'anexa 4 lei'!G141/'anexa 4 lei'!$K$4</f>
        <v>3090.4836</v>
      </c>
      <c r="H141" s="187">
        <f>'anexa 4 lei'!H141/'anexa 4 lei'!$K$4</f>
        <v>145.94116</v>
      </c>
      <c r="I141" s="187">
        <f>'anexa 4 lei'!I141/'anexa 4 lei'!$K$4</f>
        <v>2400.25632</v>
      </c>
      <c r="J141" s="187">
        <f>'anexa 4 lei'!J141/'anexa 4 lei'!$K$4</f>
        <v>102.60411999999999</v>
      </c>
      <c r="K141" s="555">
        <f>'anexa 4 lei'!K141/'anexa 4 lei'!$K$4</f>
        <v>441.68200000000002</v>
      </c>
      <c r="L141" s="551">
        <f>'anexa 4 lei'!L141/'anexa 4 lei'!$K$4</f>
        <v>3573.7550000000001</v>
      </c>
      <c r="M141" s="187">
        <f>'anexa 4 lei'!M141/'anexa 4 lei'!$K$4</f>
        <v>3266.11465</v>
      </c>
      <c r="N141" s="187">
        <f>'anexa 4 lei'!N141/'anexa 4 lei'!$K$4</f>
        <v>3090.4836</v>
      </c>
      <c r="O141" s="555">
        <f>'anexa 4 lei'!O141/'anexa 4 lei'!$K$4</f>
        <v>0</v>
      </c>
    </row>
    <row r="142" spans="1:15" ht="20.25" customHeight="1" x14ac:dyDescent="0.2">
      <c r="A142" s="826"/>
      <c r="B142" s="762"/>
      <c r="C142" s="763"/>
      <c r="D142" s="208" t="s">
        <v>65</v>
      </c>
      <c r="E142" s="761" t="s">
        <v>459</v>
      </c>
      <c r="F142" s="763">
        <f>F141+1</f>
        <v>132</v>
      </c>
      <c r="G142" s="187">
        <f>'anexa 4 lei'!G142/'anexa 4 lei'!$K$4</f>
        <v>3090.4836</v>
      </c>
      <c r="H142" s="187">
        <f>'anexa 4 lei'!H142/'anexa 4 lei'!$K$4</f>
        <v>145.94116</v>
      </c>
      <c r="I142" s="187">
        <f>'anexa 4 lei'!I142/'anexa 4 lei'!$K$4</f>
        <v>2400.25632</v>
      </c>
      <c r="J142" s="187">
        <f>'anexa 4 lei'!J142/'anexa 4 lei'!$K$4</f>
        <v>102.60411999999999</v>
      </c>
      <c r="K142" s="555">
        <f>'anexa 4 lei'!K142/'anexa 4 lei'!$K$4</f>
        <v>441.68200000000002</v>
      </c>
      <c r="L142" s="551">
        <f>'anexa 4 lei'!L142/'anexa 4 lei'!$K$4</f>
        <v>3573.7550000000001</v>
      </c>
      <c r="M142" s="187">
        <f>'anexa 4 lei'!M142/'anexa 4 lei'!$K$4</f>
        <v>3266.11465</v>
      </c>
      <c r="N142" s="187">
        <f>'anexa 4 lei'!N142/'anexa 4 lei'!$K$4</f>
        <v>3090.4836</v>
      </c>
      <c r="O142" s="555">
        <f>'anexa 4 lei'!O142/'anexa 4 lei'!$K$4</f>
        <v>0</v>
      </c>
    </row>
    <row r="143" spans="1:15" x14ac:dyDescent="0.2">
      <c r="A143" s="826"/>
      <c r="B143" s="762"/>
      <c r="C143" s="763"/>
      <c r="D143" s="763"/>
      <c r="E143" s="764" t="s">
        <v>426</v>
      </c>
      <c r="F143" s="763">
        <f t="shared" ref="F143:F162" si="2">F142+1</f>
        <v>133</v>
      </c>
      <c r="G143" s="187">
        <f>'anexa 4 lei'!G143/'anexa 4 lei'!$K$4</f>
        <v>2300</v>
      </c>
      <c r="H143" s="187">
        <f>'anexa 4 lei'!H143/'anexa 4 lei'!$K$4</f>
        <v>0</v>
      </c>
      <c r="I143" s="187">
        <f>'anexa 4 lei'!I143/'anexa 4 lei'!$K$4</f>
        <v>2300</v>
      </c>
      <c r="J143" s="187">
        <f>'anexa 4 lei'!J143/'anexa 4 lei'!$K$4</f>
        <v>0</v>
      </c>
      <c r="K143" s="555">
        <f>'anexa 4 lei'!K143/'anexa 4 lei'!$K$4</f>
        <v>0</v>
      </c>
      <c r="L143" s="551">
        <f>'anexa 4 lei'!L143/'anexa 4 lei'!$K$4</f>
        <v>2100</v>
      </c>
      <c r="M143" s="187">
        <f>'anexa 4 lei'!M143/'anexa 4 lei'!$K$4</f>
        <v>2000</v>
      </c>
      <c r="N143" s="187">
        <f>'anexa 4 lei'!N143/'anexa 4 lei'!$K$4</f>
        <v>2300</v>
      </c>
      <c r="O143" s="555">
        <f>'anexa 4 lei'!O143/'anexa 4 lei'!$K$4</f>
        <v>0</v>
      </c>
    </row>
    <row r="144" spans="1:15" ht="25.5" x14ac:dyDescent="0.2">
      <c r="A144" s="826"/>
      <c r="B144" s="762"/>
      <c r="C144" s="763"/>
      <c r="D144" s="763"/>
      <c r="E144" s="761" t="s">
        <v>347</v>
      </c>
      <c r="F144" s="763">
        <f t="shared" si="2"/>
        <v>134</v>
      </c>
      <c r="G144" s="187">
        <f>'anexa 4 lei'!G144/'anexa 4 lei'!$K$4</f>
        <v>748.00599999999997</v>
      </c>
      <c r="H144" s="187">
        <f>'anexa 4 lei'!H144/'anexa 4 lei'!$K$4</f>
        <v>134.85400000000001</v>
      </c>
      <c r="I144" s="187">
        <f>'anexa 4 lei'!I144/'anexa 4 lei'!$K$4</f>
        <v>90.823999999999998</v>
      </c>
      <c r="J144" s="187">
        <f>'anexa 4 lei'!J144/'anexa 4 lei'!$K$4</f>
        <v>92.125</v>
      </c>
      <c r="K144" s="555">
        <f>'anexa 4 lei'!K144/'anexa 4 lei'!$K$4</f>
        <v>430.20299999999997</v>
      </c>
      <c r="L144" s="551">
        <f>'anexa 4 lei'!L144/'anexa 4 lei'!$K$4</f>
        <v>778.98199999999997</v>
      </c>
      <c r="M144" s="187">
        <f>'anexa 4 lei'!M144/'anexa 4 lei'!$K$4</f>
        <v>1266.11465</v>
      </c>
      <c r="N144" s="187">
        <f>'anexa 4 lei'!N144/'anexa 4 lei'!$K$4</f>
        <v>748.00599999999997</v>
      </c>
      <c r="O144" s="555">
        <f>'anexa 4 lei'!O144/'anexa 4 lei'!$K$4</f>
        <v>0</v>
      </c>
    </row>
    <row r="145" spans="1:15" x14ac:dyDescent="0.2">
      <c r="A145" s="826"/>
      <c r="B145" s="762"/>
      <c r="C145" s="763"/>
      <c r="D145" s="763"/>
      <c r="E145" s="764" t="s">
        <v>348</v>
      </c>
      <c r="F145" s="763">
        <f t="shared" si="2"/>
        <v>135</v>
      </c>
      <c r="G145" s="187">
        <f>'anexa 4 lei'!G145/'anexa 4 lei'!$K$4</f>
        <v>42.477599999999995</v>
      </c>
      <c r="H145" s="187">
        <f>'anexa 4 lei'!H145/'anexa 4 lei'!$K$4</f>
        <v>11.087159999999999</v>
      </c>
      <c r="I145" s="187">
        <f>'anexa 4 lei'!I145/'anexa 4 lei'!$K$4</f>
        <v>9.4323199999999989</v>
      </c>
      <c r="J145" s="187">
        <f>'anexa 4 lei'!J145/'anexa 4 lei'!$K$4</f>
        <v>10.47912</v>
      </c>
      <c r="K145" s="555">
        <f>'anexa 4 lei'!K145/'anexa 4 lei'!$K$4</f>
        <v>11.478999999999999</v>
      </c>
      <c r="L145" s="551">
        <f>'anexa 4 lei'!L145/'anexa 4 lei'!$K$4</f>
        <v>694.77300000000002</v>
      </c>
      <c r="M145" s="187">
        <f>'anexa 4 lei'!M145/'anexa 4 lei'!$K$4</f>
        <v>0</v>
      </c>
      <c r="N145" s="187">
        <f>'anexa 4 lei'!N145/'anexa 4 lei'!$K$4</f>
        <v>42.477599999999995</v>
      </c>
      <c r="O145" s="555">
        <f>'anexa 4 lei'!O145/'anexa 4 lei'!$K$4</f>
        <v>0</v>
      </c>
    </row>
    <row r="146" spans="1:15" ht="36" customHeight="1" x14ac:dyDescent="0.2">
      <c r="A146" s="826"/>
      <c r="B146" s="762" t="s">
        <v>21</v>
      </c>
      <c r="C146" s="763"/>
      <c r="D146" s="829" t="s">
        <v>471</v>
      </c>
      <c r="E146" s="829"/>
      <c r="F146" s="763">
        <f t="shared" si="2"/>
        <v>136</v>
      </c>
      <c r="G146" s="187">
        <f>'anexa 4 lei'!G146/'anexa 4 lei'!$K$4</f>
        <v>1810</v>
      </c>
      <c r="H146" s="187">
        <f>'anexa 4 lei'!H146/'anexa 4 lei'!$K$4</f>
        <v>570</v>
      </c>
      <c r="I146" s="187">
        <f>'anexa 4 lei'!I146/'anexa 4 lei'!$K$4</f>
        <v>200</v>
      </c>
      <c r="J146" s="187">
        <f>'anexa 4 lei'!J146/'anexa 4 lei'!$K$4</f>
        <v>755</v>
      </c>
      <c r="K146" s="555">
        <f>'anexa 4 lei'!K146/'anexa 4 lei'!$K$4</f>
        <v>285</v>
      </c>
      <c r="L146" s="551">
        <f>'anexa 4 lei'!L146/'anexa 4 lei'!$K$4</f>
        <v>1789.077</v>
      </c>
      <c r="M146" s="187">
        <f>'anexa 4 lei'!M146/'anexa 4 lei'!$K$4</f>
        <v>2401.1790000000001</v>
      </c>
      <c r="N146" s="187">
        <f>'anexa 4 lei'!N146/'anexa 4 lei'!$K$4</f>
        <v>1810</v>
      </c>
      <c r="O146" s="555">
        <f>'anexa 4 lei'!O146/'anexa 4 lei'!$K$4</f>
        <v>0</v>
      </c>
    </row>
    <row r="147" spans="1:15" x14ac:dyDescent="0.2">
      <c r="A147" s="826"/>
      <c r="B147" s="828"/>
      <c r="C147" s="763" t="s">
        <v>27</v>
      </c>
      <c r="D147" s="831" t="s">
        <v>461</v>
      </c>
      <c r="E147" s="831"/>
      <c r="F147" s="763">
        <f t="shared" si="2"/>
        <v>137</v>
      </c>
      <c r="G147" s="187">
        <f>'anexa 4 lei'!G147/'anexa 4 lei'!$K$4</f>
        <v>900</v>
      </c>
      <c r="H147" s="187">
        <f>'anexa 4 lei'!H147/'anexa 4 lei'!$K$4</f>
        <v>400</v>
      </c>
      <c r="I147" s="187">
        <f>'anexa 4 lei'!I147/'anexa 4 lei'!$K$4</f>
        <v>0</v>
      </c>
      <c r="J147" s="187">
        <f>'anexa 4 lei'!J147/'anexa 4 lei'!$K$4</f>
        <v>500</v>
      </c>
      <c r="K147" s="555">
        <f>'anexa 4 lei'!K147/'anexa 4 lei'!$K$4</f>
        <v>0</v>
      </c>
      <c r="L147" s="551">
        <f>'anexa 4 lei'!L147/'anexa 4 lei'!$K$4</f>
        <v>609.61800000000005</v>
      </c>
      <c r="M147" s="187">
        <f>'anexa 4 lei'!M147/'anexa 4 lei'!$K$4</f>
        <v>801.17899999999997</v>
      </c>
      <c r="N147" s="187">
        <f>'anexa 4 lei'!N147/'anexa 4 lei'!$K$4</f>
        <v>900</v>
      </c>
      <c r="O147" s="555">
        <f>'anexa 4 lei'!O147/'anexa 4 lei'!$K$4</f>
        <v>0</v>
      </c>
    </row>
    <row r="148" spans="1:15" x14ac:dyDescent="0.2">
      <c r="A148" s="826"/>
      <c r="B148" s="828"/>
      <c r="C148" s="763"/>
      <c r="D148" s="763" t="s">
        <v>237</v>
      </c>
      <c r="E148" s="764" t="s">
        <v>294</v>
      </c>
      <c r="F148" s="763">
        <f t="shared" si="2"/>
        <v>138</v>
      </c>
      <c r="G148" s="187">
        <f>'anexa 4 lei'!G148/'anexa 4 lei'!$K$4</f>
        <v>900</v>
      </c>
      <c r="H148" s="187">
        <f>'anexa 4 lei'!H148/'anexa 4 lei'!$K$4</f>
        <v>400</v>
      </c>
      <c r="I148" s="187">
        <f>'anexa 4 lei'!I148/'anexa 4 lei'!$K$4</f>
        <v>0</v>
      </c>
      <c r="J148" s="187">
        <f>'anexa 4 lei'!J148/'anexa 4 lei'!$K$4</f>
        <v>500</v>
      </c>
      <c r="K148" s="555">
        <f>'anexa 4 lei'!K148/'anexa 4 lei'!$K$4</f>
        <v>0</v>
      </c>
      <c r="L148" s="551">
        <f>'anexa 4 lei'!L148/'anexa 4 lei'!$K$4</f>
        <v>609.61800000000005</v>
      </c>
      <c r="M148" s="187">
        <f>'anexa 4 lei'!M148/'anexa 4 lei'!$K$4</f>
        <v>801.17899999999997</v>
      </c>
      <c r="N148" s="187">
        <f>'anexa 4 lei'!N148/'anexa 4 lei'!$K$4</f>
        <v>900</v>
      </c>
      <c r="O148" s="555">
        <f>'anexa 4 lei'!O148/'anexa 4 lei'!$K$4</f>
        <v>0</v>
      </c>
    </row>
    <row r="149" spans="1:15" x14ac:dyDescent="0.2">
      <c r="A149" s="826"/>
      <c r="B149" s="828"/>
      <c r="C149" s="763"/>
      <c r="D149" s="763" t="s">
        <v>66</v>
      </c>
      <c r="E149" s="764" t="s">
        <v>349</v>
      </c>
      <c r="F149" s="763">
        <f t="shared" si="2"/>
        <v>139</v>
      </c>
      <c r="G149" s="187">
        <f>'anexa 4 lei'!G149/'anexa 4 lei'!$K$4</f>
        <v>0</v>
      </c>
      <c r="H149" s="187">
        <f>'anexa 4 lei'!H149/'anexa 4 lei'!$K$4</f>
        <v>0</v>
      </c>
      <c r="I149" s="187">
        <f>'anexa 4 lei'!I149/'anexa 4 lei'!$K$4</f>
        <v>0</v>
      </c>
      <c r="J149" s="187">
        <f>'anexa 4 lei'!J149/'anexa 4 lei'!$K$4</f>
        <v>0</v>
      </c>
      <c r="K149" s="555">
        <f>'anexa 4 lei'!K149/'anexa 4 lei'!$K$4</f>
        <v>0</v>
      </c>
      <c r="L149" s="551">
        <f>'anexa 4 lei'!L149/'anexa 4 lei'!$K$4</f>
        <v>0</v>
      </c>
      <c r="M149" s="187">
        <f>'anexa 4 lei'!M149/'anexa 4 lei'!$K$4</f>
        <v>0</v>
      </c>
      <c r="N149" s="187">
        <f>'anexa 4 lei'!N149/'anexa 4 lei'!$K$4</f>
        <v>0</v>
      </c>
      <c r="O149" s="555">
        <f>'anexa 4 lei'!O149/'anexa 4 lei'!$K$4</f>
        <v>0</v>
      </c>
    </row>
    <row r="150" spans="1:15" ht="35.25" customHeight="1" x14ac:dyDescent="0.2">
      <c r="A150" s="826"/>
      <c r="B150" s="828"/>
      <c r="C150" s="763" t="s">
        <v>38</v>
      </c>
      <c r="D150" s="829" t="s">
        <v>440</v>
      </c>
      <c r="E150" s="829"/>
      <c r="F150" s="763">
        <f t="shared" si="2"/>
        <v>140</v>
      </c>
      <c r="G150" s="187">
        <f>'anexa 4 lei'!G150/'anexa 4 lei'!$K$4</f>
        <v>660</v>
      </c>
      <c r="H150" s="187">
        <f>'anexa 4 lei'!H150/'anexa 4 lei'!$K$4</f>
        <v>120</v>
      </c>
      <c r="I150" s="187">
        <f>'anexa 4 lei'!I150/'anexa 4 lei'!$K$4</f>
        <v>140</v>
      </c>
      <c r="J150" s="187">
        <f>'anexa 4 lei'!J150/'anexa 4 lei'!$K$4</f>
        <v>180</v>
      </c>
      <c r="K150" s="555">
        <f>'anexa 4 lei'!K150/'anexa 4 lei'!$K$4</f>
        <v>220</v>
      </c>
      <c r="L150" s="551">
        <f>'anexa 4 lei'!L150/'anexa 4 lei'!$K$4</f>
        <v>938.39400000000001</v>
      </c>
      <c r="M150" s="187">
        <f>'anexa 4 lei'!M150/'anexa 4 lei'!$K$4</f>
        <v>1100</v>
      </c>
      <c r="N150" s="187">
        <f>'anexa 4 lei'!N150/'anexa 4 lei'!$K$4</f>
        <v>660</v>
      </c>
      <c r="O150" s="555">
        <f>'anexa 4 lei'!O150/'anexa 4 lei'!$K$4</f>
        <v>0</v>
      </c>
    </row>
    <row r="151" spans="1:15" x14ac:dyDescent="0.2">
      <c r="A151" s="826"/>
      <c r="B151" s="828"/>
      <c r="C151" s="763"/>
      <c r="D151" s="763" t="s">
        <v>76</v>
      </c>
      <c r="E151" s="764" t="s">
        <v>294</v>
      </c>
      <c r="F151" s="763">
        <f t="shared" si="2"/>
        <v>141</v>
      </c>
      <c r="G151" s="187">
        <f>'anexa 4 lei'!G151/'anexa 4 lei'!$K$4</f>
        <v>660</v>
      </c>
      <c r="H151" s="187">
        <f>'anexa 4 lei'!H151/'anexa 4 lei'!$K$4</f>
        <v>120</v>
      </c>
      <c r="I151" s="187">
        <f>'anexa 4 lei'!I151/'anexa 4 lei'!$K$4</f>
        <v>140</v>
      </c>
      <c r="J151" s="187">
        <f>'anexa 4 lei'!J151/'anexa 4 lei'!$K$4</f>
        <v>180</v>
      </c>
      <c r="K151" s="555">
        <f>'anexa 4 lei'!K151/'anexa 4 lei'!$K$4</f>
        <v>220</v>
      </c>
      <c r="L151" s="551">
        <f>'anexa 4 lei'!L151/'anexa 4 lei'!$K$4</f>
        <v>938.39400000000001</v>
      </c>
      <c r="M151" s="187">
        <f>'anexa 4 lei'!M151/'anexa 4 lei'!$K$4</f>
        <v>1100</v>
      </c>
      <c r="N151" s="187">
        <f>'anexa 4 lei'!N151/'anexa 4 lei'!$K$4</f>
        <v>660</v>
      </c>
      <c r="O151" s="555">
        <f>'anexa 4 lei'!O151/'anexa 4 lei'!$K$4</f>
        <v>0</v>
      </c>
    </row>
    <row r="152" spans="1:15" x14ac:dyDescent="0.2">
      <c r="A152" s="826"/>
      <c r="B152" s="828"/>
      <c r="C152" s="763"/>
      <c r="D152" s="763" t="s">
        <v>99</v>
      </c>
      <c r="E152" s="764" t="s">
        <v>295</v>
      </c>
      <c r="F152" s="763">
        <f t="shared" si="2"/>
        <v>142</v>
      </c>
      <c r="G152" s="187">
        <f>'anexa 4 lei'!G152/'anexa 4 lei'!$K$4</f>
        <v>0</v>
      </c>
      <c r="H152" s="187">
        <f>'anexa 4 lei'!H152/'anexa 4 lei'!$K$4</f>
        <v>0</v>
      </c>
      <c r="I152" s="187">
        <f>'anexa 4 lei'!I152/'anexa 4 lei'!$K$4</f>
        <v>0</v>
      </c>
      <c r="J152" s="187">
        <f>'anexa 4 lei'!J152/'anexa 4 lei'!$K$4</f>
        <v>0</v>
      </c>
      <c r="K152" s="555">
        <f>'anexa 4 lei'!K152/'anexa 4 lei'!$K$4</f>
        <v>0</v>
      </c>
      <c r="L152" s="551">
        <f>'anexa 4 lei'!L152/'anexa 4 lei'!$K$4</f>
        <v>0</v>
      </c>
      <c r="M152" s="187">
        <f>'anexa 4 lei'!M152/'anexa 4 lei'!$K$4</f>
        <v>0</v>
      </c>
      <c r="N152" s="187">
        <f>'anexa 4 lei'!N152/'anexa 4 lei'!$K$4</f>
        <v>0</v>
      </c>
      <c r="O152" s="555">
        <f>'anexa 4 lei'!O152/'anexa 4 lei'!$K$4</f>
        <v>0</v>
      </c>
    </row>
    <row r="153" spans="1:15" x14ac:dyDescent="0.2">
      <c r="A153" s="826"/>
      <c r="B153" s="828"/>
      <c r="C153" s="763" t="s">
        <v>40</v>
      </c>
      <c r="D153" s="830" t="s">
        <v>296</v>
      </c>
      <c r="E153" s="830"/>
      <c r="F153" s="763">
        <f t="shared" si="2"/>
        <v>143</v>
      </c>
      <c r="G153" s="187">
        <f>'anexa 4 lei'!G153/'anexa 4 lei'!$K$4</f>
        <v>250</v>
      </c>
      <c r="H153" s="187">
        <f>'anexa 4 lei'!H153/'anexa 4 lei'!$K$4</f>
        <v>50</v>
      </c>
      <c r="I153" s="187">
        <f>'anexa 4 lei'!I153/'anexa 4 lei'!$K$4</f>
        <v>60</v>
      </c>
      <c r="J153" s="187">
        <f>'anexa 4 lei'!J153/'anexa 4 lei'!$K$4</f>
        <v>75</v>
      </c>
      <c r="K153" s="555">
        <f>'anexa 4 lei'!K153/'anexa 4 lei'!$K$4</f>
        <v>65</v>
      </c>
      <c r="L153" s="551">
        <f>'anexa 4 lei'!L153/'anexa 4 lei'!$K$4</f>
        <v>241.065</v>
      </c>
      <c r="M153" s="187">
        <f>'anexa 4 lei'!M153/'anexa 4 lei'!$K$4</f>
        <v>500</v>
      </c>
      <c r="N153" s="187">
        <f>'anexa 4 lei'!N153/'anexa 4 lei'!$K$4</f>
        <v>250</v>
      </c>
      <c r="O153" s="555">
        <f>'anexa 4 lei'!O153/'anexa 4 lei'!$K$4</f>
        <v>0</v>
      </c>
    </row>
    <row r="154" spans="1:15" ht="13.5" thickBot="1" x14ac:dyDescent="0.25">
      <c r="A154" s="826"/>
      <c r="B154" s="218" t="s">
        <v>17</v>
      </c>
      <c r="C154" s="221"/>
      <c r="D154" s="839" t="s">
        <v>129</v>
      </c>
      <c r="E154" s="839"/>
      <c r="F154" s="766">
        <f t="shared" si="2"/>
        <v>144</v>
      </c>
      <c r="G154" s="219">
        <f>'anexa 4 lei'!G154/'anexa 4 lei'!$K$4</f>
        <v>0</v>
      </c>
      <c r="H154" s="219">
        <f>'anexa 4 lei'!H154/'anexa 4 lei'!$K$4</f>
        <v>0</v>
      </c>
      <c r="I154" s="219">
        <f>'anexa 4 lei'!I154/'anexa 4 lei'!$K$4</f>
        <v>0</v>
      </c>
      <c r="J154" s="219">
        <f>'anexa 4 lei'!J154/'anexa 4 lei'!$K$4</f>
        <v>0</v>
      </c>
      <c r="K154" s="556">
        <f>'anexa 4 lei'!K154/'anexa 4 lei'!$K$4</f>
        <v>0</v>
      </c>
      <c r="L154" s="552">
        <f>'anexa 4 lei'!L154/'anexa 4 lei'!$K$4</f>
        <v>0</v>
      </c>
      <c r="M154" s="219">
        <f>'anexa 4 lei'!M154/'anexa 4 lei'!$K$4</f>
        <v>0</v>
      </c>
      <c r="N154" s="219">
        <f>'anexa 4 lei'!N154/'anexa 4 lei'!$K$4</f>
        <v>0</v>
      </c>
      <c r="O154" s="556">
        <f>'anexa 4 lei'!O154/'anexa 4 lei'!$K$4</f>
        <v>0</v>
      </c>
    </row>
    <row r="155" spans="1:15" s="157" customFormat="1" ht="15.75" thickBot="1" x14ac:dyDescent="0.25">
      <c r="A155" s="769" t="s">
        <v>130</v>
      </c>
      <c r="B155" s="767"/>
      <c r="C155" s="760"/>
      <c r="D155" s="835" t="s">
        <v>441</v>
      </c>
      <c r="E155" s="835"/>
      <c r="F155" s="760">
        <f t="shared" si="2"/>
        <v>145</v>
      </c>
      <c r="G155" s="220">
        <f>'anexa 4 lei'!G155/'anexa 4 lei'!$K$4</f>
        <v>11909.218905120011</v>
      </c>
      <c r="H155" s="220">
        <f>'anexa 4 lei'!H155/'anexa 4 lei'!$K$4</f>
        <v>5834.4981864799975</v>
      </c>
      <c r="I155" s="220">
        <f>'anexa 4 lei'!I155/'anexa 4 lei'!$K$4</f>
        <v>5317.015675659999</v>
      </c>
      <c r="J155" s="220">
        <f>'anexa 4 lei'!J155/'anexa 4 lei'!$K$4</f>
        <v>2581.0243249199984</v>
      </c>
      <c r="K155" s="557">
        <f>'anexa 4 lei'!K155/'anexa 4 lei'!$K$4</f>
        <v>-1823.3192819399976</v>
      </c>
      <c r="L155" s="553">
        <f>'anexa 4 lei'!L155/'anexa 4 lei'!$K$4</f>
        <v>33560.104365480009</v>
      </c>
      <c r="M155" s="547">
        <f>'anexa 4 lei'!M155/'anexa 4 lei'!$K$4</f>
        <v>21557.110070958661</v>
      </c>
      <c r="N155" s="742">
        <f>'anexa 4 lei'!N155/'anexa 4 lei'!$K$4</f>
        <v>17588.385905120012</v>
      </c>
      <c r="O155" s="547">
        <f>'anexa 4 lei'!O155/'anexa 4 lei'!$K$4</f>
        <v>-5679.1670000000004</v>
      </c>
    </row>
    <row r="156" spans="1:15" s="157" customFormat="1" ht="13.5" thickBot="1" x14ac:dyDescent="0.25">
      <c r="A156" s="222"/>
      <c r="B156" s="223"/>
      <c r="C156" s="224"/>
      <c r="D156" s="225"/>
      <c r="E156" s="225" t="s">
        <v>421</v>
      </c>
      <c r="F156" s="770">
        <f t="shared" si="2"/>
        <v>146</v>
      </c>
      <c r="G156" s="216">
        <f>'anexa 4 lei'!G156/'anexa 4 lei'!$K$4</f>
        <v>3090.4836</v>
      </c>
      <c r="H156" s="216">
        <f>'anexa 4 lei'!H156/'anexa 4 lei'!$K$4</f>
        <v>145.94116</v>
      </c>
      <c r="I156" s="216">
        <f>'anexa 4 lei'!I156/'anexa 4 lei'!$K$4</f>
        <v>2400.25632</v>
      </c>
      <c r="J156" s="216">
        <f>'anexa 4 lei'!J156/'anexa 4 lei'!$K$4</f>
        <v>102.60411999999999</v>
      </c>
      <c r="K156" s="558">
        <f>'anexa 4 lei'!K156/'anexa 4 lei'!$K$4</f>
        <v>441.68200000000002</v>
      </c>
      <c r="L156" s="554">
        <f>'anexa 4 lei'!L156/'anexa 4 lei'!$K$4</f>
        <v>3573.7550000000001</v>
      </c>
      <c r="M156" s="216">
        <f>'anexa 4 lei'!M156/'anexa 4 lei'!$K$4</f>
        <v>3266.11465</v>
      </c>
      <c r="N156" s="216">
        <f>'anexa 4 lei'!N156/'anexa 4 lei'!$K$4</f>
        <v>3090.4836</v>
      </c>
      <c r="O156" s="558">
        <f>'anexa 4 lei'!O156/'anexa 4 lei'!$K$4</f>
        <v>0</v>
      </c>
    </row>
    <row r="157" spans="1:15" ht="13.5" thickBot="1" x14ac:dyDescent="0.25">
      <c r="A157" s="765"/>
      <c r="B157" s="218"/>
      <c r="C157" s="766"/>
      <c r="D157" s="168"/>
      <c r="E157" s="168" t="s">
        <v>297</v>
      </c>
      <c r="F157" s="766">
        <f t="shared" si="2"/>
        <v>147</v>
      </c>
      <c r="G157" s="219">
        <f>'anexa 4 lei'!G157/'anexa 4 lei'!$K$4</f>
        <v>4460</v>
      </c>
      <c r="H157" s="219">
        <f>'anexa 4 lei'!H157/'anexa 4 lei'!$K$4</f>
        <v>0</v>
      </c>
      <c r="I157" s="219">
        <f>'anexa 4 lei'!I157/'anexa 4 lei'!$K$4</f>
        <v>0</v>
      </c>
      <c r="J157" s="219">
        <f>'anexa 4 lei'!J157/'anexa 4 lei'!$K$4</f>
        <v>0</v>
      </c>
      <c r="K157" s="556">
        <f>'anexa 4 lei'!K157/'anexa 4 lei'!$K$4</f>
        <v>4460</v>
      </c>
      <c r="L157" s="552">
        <f>'anexa 4 lei'!L157/'anexa 4 lei'!$K$4</f>
        <v>7000</v>
      </c>
      <c r="M157" s="219">
        <f>'anexa 4 lei'!M157/'anexa 4 lei'!$K$4</f>
        <v>6420</v>
      </c>
      <c r="N157" s="219">
        <f>'anexa 4 lei'!N157/'anexa 4 lei'!$K$4</f>
        <v>4460</v>
      </c>
      <c r="O157" s="556">
        <f>'anexa 4 lei'!O157/'anexa 4 lei'!$K$4</f>
        <v>0</v>
      </c>
    </row>
    <row r="158" spans="1:15" s="157" customFormat="1" ht="15.75" thickBot="1" x14ac:dyDescent="0.25">
      <c r="A158" s="769" t="s">
        <v>132</v>
      </c>
      <c r="B158" s="767"/>
      <c r="C158" s="760"/>
      <c r="D158" s="835" t="s">
        <v>133</v>
      </c>
      <c r="E158" s="835"/>
      <c r="F158" s="760">
        <f t="shared" si="2"/>
        <v>148</v>
      </c>
      <c r="G158" s="220">
        <f>'anexa 4 lei'!G158/'anexa 4 lei'!$K$4</f>
        <v>2399.9524008191997</v>
      </c>
      <c r="H158" s="220">
        <f>'anexa 4 lei'!H158/'anexa 4 lei'!$K$4</f>
        <v>956.87029543679967</v>
      </c>
      <c r="I158" s="220">
        <f>'anexa 4 lei'!I158/'anexa 4 lei'!$K$4</f>
        <v>1234.7635193055999</v>
      </c>
      <c r="J158" s="220">
        <f>'anexa 4 lei'!J158/'anexa 4 lei'!$K$4</f>
        <v>429.38055118719984</v>
      </c>
      <c r="K158" s="557">
        <f>'anexa 4 lei'!K158/'anexa 4 lei'!$K$4</f>
        <v>-221.06196511039963</v>
      </c>
      <c r="L158" s="553">
        <f>'anexa 4 lei'!L158/'anexa 4 lei'!$K$4</f>
        <v>6542.3747784768002</v>
      </c>
      <c r="M158" s="547">
        <f>'anexa 4 lei'!M158/'anexa 4 lei'!$K$4</f>
        <v>4476.337611353385</v>
      </c>
      <c r="N158" s="742">
        <f>'anexa 4 lei'!N158/'anexa 4 lei'!$K$4</f>
        <v>3308.6191208191995</v>
      </c>
      <c r="O158" s="547">
        <f>'anexa 4 lei'!O158/'anexa 4 lei'!$K$4</f>
        <v>-908.66671999999971</v>
      </c>
    </row>
    <row r="159" spans="1:15" ht="15.75" customHeight="1" x14ac:dyDescent="0.2">
      <c r="A159" s="244" t="s">
        <v>134</v>
      </c>
      <c r="B159" s="226"/>
      <c r="C159" s="162"/>
      <c r="D159" s="842" t="s">
        <v>422</v>
      </c>
      <c r="E159" s="842"/>
      <c r="F159" s="770">
        <f t="shared" si="2"/>
        <v>149</v>
      </c>
      <c r="G159" s="216">
        <f>'anexa 4 lei'!G160/'anexa 4 lei'!$K$4</f>
        <v>0</v>
      </c>
      <c r="H159" s="216">
        <f>'anexa 4 lei'!H160/'anexa 4 lei'!$K$4</f>
        <v>0</v>
      </c>
      <c r="I159" s="216">
        <f>'anexa 4 lei'!I160/'anexa 4 lei'!$K$4</f>
        <v>0</v>
      </c>
      <c r="J159" s="216">
        <f>'anexa 4 lei'!J160/'anexa 4 lei'!$K$4</f>
        <v>0</v>
      </c>
      <c r="K159" s="558">
        <f>'anexa 4 lei'!K160/'anexa 4 lei'!$K$4</f>
        <v>0</v>
      </c>
      <c r="L159" s="554">
        <f>'anexa 4 lei'!L160/'anexa 4 lei'!$K$4</f>
        <v>0</v>
      </c>
      <c r="M159" s="216">
        <f>'anexa 4 lei'!M160/'anexa 4 lei'!$K$4</f>
        <v>0</v>
      </c>
      <c r="N159" s="216">
        <f>'anexa 4 lei'!N159/'anexa 4 lei'!$K$4</f>
        <v>0</v>
      </c>
      <c r="O159" s="558">
        <f>'anexa 4 lei'!O159/'anexa 4 lei'!$K$4</f>
        <v>0</v>
      </c>
    </row>
    <row r="160" spans="1:15" ht="13.5" customHeight="1" x14ac:dyDescent="0.2">
      <c r="A160" s="245" t="s">
        <v>141</v>
      </c>
      <c r="B160" s="209"/>
      <c r="C160" s="163"/>
      <c r="D160" s="843" t="s">
        <v>547</v>
      </c>
      <c r="E160" s="843"/>
      <c r="F160" s="763">
        <f t="shared" si="2"/>
        <v>150</v>
      </c>
      <c r="G160" s="187">
        <f>G138</f>
        <v>4460</v>
      </c>
      <c r="H160" s="187">
        <f t="shared" ref="H160:K160" si="3">H138</f>
        <v>0</v>
      </c>
      <c r="I160" s="187">
        <f t="shared" si="3"/>
        <v>0</v>
      </c>
      <c r="J160" s="187">
        <f t="shared" si="3"/>
        <v>0</v>
      </c>
      <c r="K160" s="555">
        <f t="shared" si="3"/>
        <v>4460</v>
      </c>
      <c r="L160" s="551">
        <f>'anexa 4 lei'!L161/'anexa 4 lei'!$K$4</f>
        <v>0</v>
      </c>
      <c r="M160" s="187">
        <f>'anexa 4 lei'!M161/'anexa 4 lei'!$K$4</f>
        <v>0</v>
      </c>
      <c r="N160" s="187">
        <f>'anexa 4 lei'!N160/'anexa 4 lei'!$K$4</f>
        <v>0</v>
      </c>
      <c r="O160" s="555">
        <f>'anexa 4 lei'!O160/'anexa 4 lei'!$K$4</f>
        <v>0</v>
      </c>
    </row>
    <row r="161" spans="1:15" x14ac:dyDescent="0.2">
      <c r="A161" s="246" t="s">
        <v>143</v>
      </c>
      <c r="B161" s="210"/>
      <c r="C161" s="164"/>
      <c r="D161" s="164" t="s">
        <v>424</v>
      </c>
      <c r="E161" s="164"/>
      <c r="F161" s="763">
        <f t="shared" si="2"/>
        <v>151</v>
      </c>
      <c r="G161" s="187">
        <v>944</v>
      </c>
      <c r="H161" s="187">
        <v>934</v>
      </c>
      <c r="I161" s="187">
        <v>941</v>
      </c>
      <c r="J161" s="187">
        <v>948</v>
      </c>
      <c r="K161" s="555">
        <v>954</v>
      </c>
      <c r="L161" s="551">
        <f>'anexa 4 lei'!L162/'anexa 4 lei'!$K$4</f>
        <v>0</v>
      </c>
      <c r="M161" s="187">
        <f>'anexa 4 lei'!M162/'anexa 4 lei'!$K$4</f>
        <v>0</v>
      </c>
      <c r="N161" s="187">
        <f>'anexa 4 lei'!N161/'anexa 4 lei'!$K$4</f>
        <v>0</v>
      </c>
      <c r="O161" s="555">
        <f>'anexa 4 lei'!O161/'anexa 4 lei'!$K$4</f>
        <v>0</v>
      </c>
    </row>
    <row r="162" spans="1:15" ht="13.5" thickBot="1" x14ac:dyDescent="0.25">
      <c r="A162" s="247" t="s">
        <v>150</v>
      </c>
      <c r="B162" s="211"/>
      <c r="C162" s="165"/>
      <c r="D162" s="844" t="s">
        <v>425</v>
      </c>
      <c r="E162" s="844"/>
      <c r="F162" s="212">
        <f t="shared" si="2"/>
        <v>152</v>
      </c>
      <c r="G162" s="213">
        <v>956</v>
      </c>
      <c r="H162" s="213">
        <v>937</v>
      </c>
      <c r="I162" s="213">
        <v>943</v>
      </c>
      <c r="J162" s="213">
        <v>950</v>
      </c>
      <c r="K162" s="559">
        <v>956</v>
      </c>
      <c r="L162" s="1089">
        <f>'anexa 4 lei'!L163/'anexa 4 lei'!$K$4</f>
        <v>0</v>
      </c>
      <c r="M162" s="213">
        <f>'anexa 4 lei'!M163/'anexa 4 lei'!$K$4</f>
        <v>0</v>
      </c>
      <c r="N162" s="213">
        <f>'anexa 4 lei'!N162/'anexa 4 lei'!$K$4</f>
        <v>0</v>
      </c>
      <c r="O162" s="559">
        <f>'anexa 4 lei'!O162/'anexa 4 lei'!$K$4</f>
        <v>0</v>
      </c>
    </row>
    <row r="164" spans="1:15" x14ac:dyDescent="0.2">
      <c r="E164" s="55" t="s">
        <v>373</v>
      </c>
      <c r="G164" s="55" t="s">
        <v>374</v>
      </c>
      <c r="I164" s="159"/>
      <c r="L164" s="160"/>
    </row>
    <row r="165" spans="1:15" x14ac:dyDescent="0.2">
      <c r="E165" s="55" t="s">
        <v>375</v>
      </c>
      <c r="G165" s="55" t="s">
        <v>376</v>
      </c>
      <c r="I165" s="159"/>
      <c r="L165" s="160"/>
    </row>
    <row r="166" spans="1:15" x14ac:dyDescent="0.2">
      <c r="E166" s="55"/>
      <c r="I166" s="159"/>
      <c r="L166" s="160"/>
    </row>
    <row r="167" spans="1:15" x14ac:dyDescent="0.2">
      <c r="E167" s="55"/>
      <c r="I167" s="159"/>
      <c r="L167" s="160"/>
    </row>
  </sheetData>
  <mergeCells count="117">
    <mergeCell ref="D133:E133"/>
    <mergeCell ref="D155:E155"/>
    <mergeCell ref="D105:E105"/>
    <mergeCell ref="A134:A154"/>
    <mergeCell ref="B134:B137"/>
    <mergeCell ref="D134:E134"/>
    <mergeCell ref="D135:E135"/>
    <mergeCell ref="D136:E136"/>
    <mergeCell ref="D154:E154"/>
    <mergeCell ref="D121:E121"/>
    <mergeCell ref="D122:E122"/>
    <mergeCell ref="C123:C128"/>
    <mergeCell ref="D123:E123"/>
    <mergeCell ref="D124:E124"/>
    <mergeCell ref="D125:E125"/>
    <mergeCell ref="D126:E126"/>
    <mergeCell ref="D127:E127"/>
    <mergeCell ref="D128:E128"/>
    <mergeCell ref="A93:A133"/>
    <mergeCell ref="B93:B133"/>
    <mergeCell ref="D93:E93"/>
    <mergeCell ref="D94:E94"/>
    <mergeCell ref="D97:E97"/>
    <mergeCell ref="C98:C100"/>
    <mergeCell ref="D98:E98"/>
    <mergeCell ref="D99:E99"/>
    <mergeCell ref="C95:E95"/>
    <mergeCell ref="A52:A92"/>
    <mergeCell ref="B52:B92"/>
    <mergeCell ref="D54:E54"/>
    <mergeCell ref="D55:E55"/>
    <mergeCell ref="D56:E56"/>
    <mergeCell ref="D57:E57"/>
    <mergeCell ref="D58:E58"/>
    <mergeCell ref="D59:E59"/>
    <mergeCell ref="D78:E78"/>
    <mergeCell ref="D87:E87"/>
    <mergeCell ref="D89:E89"/>
    <mergeCell ref="D90:E90"/>
    <mergeCell ref="D91:E91"/>
    <mergeCell ref="D72:E72"/>
    <mergeCell ref="D73:E73"/>
    <mergeCell ref="D74:E74"/>
    <mergeCell ref="D75:E75"/>
    <mergeCell ref="D76:E76"/>
    <mergeCell ref="D34:E34"/>
    <mergeCell ref="D35:E35"/>
    <mergeCell ref="D36:E36"/>
    <mergeCell ref="D47:E47"/>
    <mergeCell ref="D48:E48"/>
    <mergeCell ref="D49:E49"/>
    <mergeCell ref="D50:E50"/>
    <mergeCell ref="D51:E51"/>
    <mergeCell ref="B147:B153"/>
    <mergeCell ref="C114:C120"/>
    <mergeCell ref="D114:E114"/>
    <mergeCell ref="D117:E117"/>
    <mergeCell ref="D120:E120"/>
    <mergeCell ref="D96:E96"/>
    <mergeCell ref="C129:E129"/>
    <mergeCell ref="D109:E109"/>
    <mergeCell ref="D110:E110"/>
    <mergeCell ref="D111:E111"/>
    <mergeCell ref="D112:E112"/>
    <mergeCell ref="D113:E113"/>
    <mergeCell ref="D137:E137"/>
    <mergeCell ref="D146:E146"/>
    <mergeCell ref="D100:E100"/>
    <mergeCell ref="D101:E101"/>
    <mergeCell ref="C39:E39"/>
    <mergeCell ref="B40:B51"/>
    <mergeCell ref="C40:E40"/>
    <mergeCell ref="D41:E41"/>
    <mergeCell ref="D42:E42"/>
    <mergeCell ref="D43:E43"/>
    <mergeCell ref="D46:E46"/>
    <mergeCell ref="D159:E159"/>
    <mergeCell ref="D77:E77"/>
    <mergeCell ref="D66:E66"/>
    <mergeCell ref="D71:E71"/>
    <mergeCell ref="C88:E88"/>
    <mergeCell ref="D92:E92"/>
    <mergeCell ref="D158:E158"/>
    <mergeCell ref="D102:E102"/>
    <mergeCell ref="D106:E106"/>
    <mergeCell ref="D107:E107"/>
    <mergeCell ref="D108:E108"/>
    <mergeCell ref="D147:E147"/>
    <mergeCell ref="D150:E150"/>
    <mergeCell ref="D153:E153"/>
    <mergeCell ref="D130:E130"/>
    <mergeCell ref="D131:E131"/>
    <mergeCell ref="D132:E132"/>
    <mergeCell ref="D160:E160"/>
    <mergeCell ref="D162:E162"/>
    <mergeCell ref="A1:D1"/>
    <mergeCell ref="A2:D2"/>
    <mergeCell ref="A3:D3"/>
    <mergeCell ref="D37:E37"/>
    <mergeCell ref="A8:B8"/>
    <mergeCell ref="B10:E10"/>
    <mergeCell ref="A11:A37"/>
    <mergeCell ref="B12:B22"/>
    <mergeCell ref="B38:E38"/>
    <mergeCell ref="C11:E11"/>
    <mergeCell ref="D12:E12"/>
    <mergeCell ref="D17:E17"/>
    <mergeCell ref="D18:E18"/>
    <mergeCell ref="C19:C20"/>
    <mergeCell ref="D21:E21"/>
    <mergeCell ref="D22:E22"/>
    <mergeCell ref="D23:E23"/>
    <mergeCell ref="D31:E31"/>
    <mergeCell ref="B32:B36"/>
    <mergeCell ref="D32:E32"/>
    <mergeCell ref="D33:E33"/>
    <mergeCell ref="A39:A5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M26" sqref="M26"/>
    </sheetView>
  </sheetViews>
  <sheetFormatPr defaultRowHeight="12.75" x14ac:dyDescent="0.2"/>
  <cols>
    <col min="1" max="1" width="6" style="1" customWidth="1"/>
    <col min="2" max="2" width="28.140625" style="1" customWidth="1"/>
    <col min="3" max="3" width="9.7109375" style="1" customWidth="1"/>
    <col min="4" max="4" width="9.85546875" style="1" customWidth="1"/>
    <col min="5" max="5" width="9" style="1" customWidth="1"/>
    <col min="6" max="6" width="9.5703125" style="1" customWidth="1"/>
    <col min="7" max="7" width="8.28515625" style="1" customWidth="1"/>
    <col min="8" max="8" width="8.85546875" style="1" customWidth="1"/>
    <col min="9" max="9" width="7.42578125" style="1" customWidth="1"/>
    <col min="10" max="10" width="7.28515625" style="1" customWidth="1"/>
    <col min="11" max="11" width="7.140625" style="1" customWidth="1"/>
    <col min="12" max="12" width="8.42578125" style="1" customWidth="1"/>
    <col min="13" max="16384" width="9.140625" style="1"/>
  </cols>
  <sheetData>
    <row r="1" spans="1:12" x14ac:dyDescent="0.2">
      <c r="A1" s="916" t="s">
        <v>0</v>
      </c>
      <c r="B1" s="916"/>
      <c r="C1" s="916"/>
      <c r="D1" s="916"/>
    </row>
    <row r="2" spans="1:12" x14ac:dyDescent="0.2">
      <c r="A2" s="916" t="s">
        <v>1</v>
      </c>
      <c r="B2" s="916"/>
      <c r="C2" s="916"/>
      <c r="D2" s="916"/>
      <c r="I2" s="2" t="s">
        <v>529</v>
      </c>
      <c r="K2" s="2"/>
    </row>
    <row r="3" spans="1:12" x14ac:dyDescent="0.2">
      <c r="A3" s="916" t="s">
        <v>2</v>
      </c>
      <c r="B3" s="916"/>
      <c r="C3" s="916"/>
      <c r="D3" s="916"/>
    </row>
    <row r="4" spans="1:12" ht="15.75" x14ac:dyDescent="0.25">
      <c r="C4" s="38" t="s">
        <v>527</v>
      </c>
      <c r="D4" s="38"/>
      <c r="E4" s="38"/>
      <c r="F4" s="38"/>
      <c r="G4" s="38"/>
      <c r="H4" s="38"/>
    </row>
    <row r="5" spans="1:12" ht="15.75" x14ac:dyDescent="0.25">
      <c r="C5" s="38"/>
      <c r="D5" s="38"/>
      <c r="E5" s="38" t="s">
        <v>670</v>
      </c>
      <c r="F5" s="38"/>
      <c r="G5" s="38"/>
      <c r="H5" s="38"/>
    </row>
    <row r="8" spans="1:12" ht="13.5" thickBot="1" x14ac:dyDescent="0.25"/>
    <row r="9" spans="1:12" ht="13.5" thickBot="1" x14ac:dyDescent="0.25">
      <c r="A9" s="918" t="s">
        <v>350</v>
      </c>
      <c r="B9" s="921" t="s">
        <v>244</v>
      </c>
      <c r="C9" s="924" t="s">
        <v>352</v>
      </c>
      <c r="D9" s="927" t="s">
        <v>353</v>
      </c>
      <c r="E9" s="928"/>
      <c r="F9" s="928"/>
      <c r="G9" s="929"/>
      <c r="H9" s="933" t="s">
        <v>72</v>
      </c>
      <c r="I9" s="924" t="s">
        <v>354</v>
      </c>
      <c r="J9" s="924" t="s">
        <v>355</v>
      </c>
      <c r="K9" s="924" t="s">
        <v>356</v>
      </c>
      <c r="L9" s="930" t="s">
        <v>357</v>
      </c>
    </row>
    <row r="10" spans="1:12" ht="13.5" thickBot="1" x14ac:dyDescent="0.25">
      <c r="A10" s="919"/>
      <c r="B10" s="922"/>
      <c r="C10" s="925"/>
      <c r="D10" s="924" t="s">
        <v>358</v>
      </c>
      <c r="E10" s="927">
        <v>3</v>
      </c>
      <c r="F10" s="928"/>
      <c r="G10" s="929"/>
      <c r="H10" s="934"/>
      <c r="I10" s="925"/>
      <c r="J10" s="925"/>
      <c r="K10" s="925"/>
      <c r="L10" s="931"/>
    </row>
    <row r="11" spans="1:12" ht="53.25" customHeight="1" thickBot="1" x14ac:dyDescent="0.25">
      <c r="A11" s="920"/>
      <c r="B11" s="923"/>
      <c r="C11" s="926"/>
      <c r="D11" s="926"/>
      <c r="E11" s="7" t="s">
        <v>359</v>
      </c>
      <c r="F11" s="3" t="s">
        <v>360</v>
      </c>
      <c r="G11" s="3" t="s">
        <v>361</v>
      </c>
      <c r="H11" s="935"/>
      <c r="I11" s="926"/>
      <c r="J11" s="926"/>
      <c r="K11" s="926"/>
      <c r="L11" s="932"/>
    </row>
    <row r="12" spans="1:12" ht="13.5" thickBot="1" x14ac:dyDescent="0.25">
      <c r="A12" s="4" t="s">
        <v>4</v>
      </c>
      <c r="B12" s="42" t="s">
        <v>21</v>
      </c>
      <c r="C12" s="42" t="s">
        <v>17</v>
      </c>
      <c r="D12" s="42" t="s">
        <v>71</v>
      </c>
      <c r="E12" s="42" t="s">
        <v>24</v>
      </c>
      <c r="F12" s="42" t="s">
        <v>19</v>
      </c>
      <c r="G12" s="42" t="s">
        <v>5</v>
      </c>
      <c r="H12" s="42" t="s">
        <v>362</v>
      </c>
      <c r="I12" s="42" t="s">
        <v>26</v>
      </c>
      <c r="J12" s="42" t="s">
        <v>363</v>
      </c>
      <c r="K12" s="42" t="s">
        <v>33</v>
      </c>
      <c r="L12" s="42" t="s">
        <v>364</v>
      </c>
    </row>
    <row r="13" spans="1:12" ht="42" customHeight="1" thickBot="1" x14ac:dyDescent="0.25">
      <c r="A13" s="43" t="s">
        <v>112</v>
      </c>
      <c r="B13" s="63" t="s">
        <v>365</v>
      </c>
      <c r="C13" s="64">
        <f>C14+C15</f>
        <v>0</v>
      </c>
      <c r="D13" s="64">
        <f t="shared" ref="D13:L13" si="0">D14+D15</f>
        <v>0</v>
      </c>
      <c r="E13" s="64">
        <f t="shared" si="0"/>
        <v>0</v>
      </c>
      <c r="F13" s="64">
        <f t="shared" si="0"/>
        <v>0</v>
      </c>
      <c r="G13" s="64">
        <f t="shared" si="0"/>
        <v>0</v>
      </c>
      <c r="H13" s="64">
        <f t="shared" si="0"/>
        <v>0</v>
      </c>
      <c r="I13" s="64">
        <f t="shared" si="0"/>
        <v>0</v>
      </c>
      <c r="J13" s="64">
        <f t="shared" si="0"/>
        <v>0</v>
      </c>
      <c r="K13" s="64">
        <f t="shared" si="0"/>
        <v>0</v>
      </c>
      <c r="L13" s="65">
        <f t="shared" si="0"/>
        <v>0</v>
      </c>
    </row>
    <row r="14" spans="1:12" ht="13.5" thickBot="1" x14ac:dyDescent="0.25">
      <c r="A14" s="44" t="s">
        <v>366</v>
      </c>
      <c r="B14" s="41" t="s">
        <v>367</v>
      </c>
      <c r="C14" s="46"/>
      <c r="D14" s="45">
        <f t="shared" ref="D14:D20" si="1">E14+F14+G14</f>
        <v>0</v>
      </c>
      <c r="E14" s="45"/>
      <c r="F14" s="45"/>
      <c r="G14" s="45"/>
      <c r="H14" s="45">
        <f t="shared" ref="H14:H20" si="2">C14-D14</f>
        <v>0</v>
      </c>
      <c r="I14" s="45"/>
      <c r="J14" s="45">
        <f t="shared" ref="J14:J20" si="3">H14-I14</f>
        <v>0</v>
      </c>
      <c r="K14" s="45"/>
      <c r="L14" s="66">
        <f t="shared" ref="L14:L20" si="4">J14-K14</f>
        <v>0</v>
      </c>
    </row>
    <row r="15" spans="1:12" ht="13.5" thickBot="1" x14ac:dyDescent="0.25">
      <c r="A15" s="44" t="s">
        <v>368</v>
      </c>
      <c r="B15" s="49" t="s">
        <v>369</v>
      </c>
      <c r="C15" s="46"/>
      <c r="D15" s="45">
        <f t="shared" si="1"/>
        <v>0</v>
      </c>
      <c r="E15" s="45"/>
      <c r="F15" s="45"/>
      <c r="G15" s="45"/>
      <c r="H15" s="45">
        <f t="shared" si="2"/>
        <v>0</v>
      </c>
      <c r="I15" s="45"/>
      <c r="J15" s="45">
        <f t="shared" si="3"/>
        <v>0</v>
      </c>
      <c r="K15" s="45"/>
      <c r="L15" s="66">
        <f t="shared" si="4"/>
        <v>0</v>
      </c>
    </row>
    <row r="16" spans="1:12" ht="13.5" thickBot="1" x14ac:dyDescent="0.25">
      <c r="A16" s="43"/>
      <c r="B16" s="49"/>
      <c r="C16" s="46"/>
      <c r="D16" s="45"/>
      <c r="E16" s="45"/>
      <c r="F16" s="45"/>
      <c r="G16" s="45"/>
      <c r="H16" s="45"/>
      <c r="I16" s="45"/>
      <c r="J16" s="45"/>
      <c r="K16" s="45"/>
      <c r="L16" s="66"/>
    </row>
    <row r="17" spans="1:12" ht="13.5" thickBot="1" x14ac:dyDescent="0.25">
      <c r="A17" s="43"/>
      <c r="B17" s="49"/>
      <c r="C17" s="46"/>
      <c r="D17" s="45"/>
      <c r="E17" s="45"/>
      <c r="F17" s="45"/>
      <c r="G17" s="45"/>
      <c r="H17" s="45"/>
      <c r="I17" s="45"/>
      <c r="J17" s="45"/>
      <c r="K17" s="45"/>
      <c r="L17" s="66"/>
    </row>
    <row r="18" spans="1:12" ht="56.25" customHeight="1" thickBot="1" x14ac:dyDescent="0.25">
      <c r="A18" s="43" t="s">
        <v>351</v>
      </c>
      <c r="B18" s="67" t="s">
        <v>370</v>
      </c>
      <c r="C18" s="45">
        <f>C19+C20</f>
        <v>0</v>
      </c>
      <c r="D18" s="45">
        <f t="shared" ref="D18:L18" si="5">D19+D20</f>
        <v>0</v>
      </c>
      <c r="E18" s="45">
        <f t="shared" si="5"/>
        <v>0</v>
      </c>
      <c r="F18" s="45">
        <f t="shared" si="5"/>
        <v>0</v>
      </c>
      <c r="G18" s="45">
        <f t="shared" si="5"/>
        <v>0</v>
      </c>
      <c r="H18" s="45">
        <f t="shared" si="5"/>
        <v>0</v>
      </c>
      <c r="I18" s="45">
        <f t="shared" si="5"/>
        <v>0</v>
      </c>
      <c r="J18" s="45">
        <f t="shared" si="5"/>
        <v>0</v>
      </c>
      <c r="K18" s="45">
        <f t="shared" si="5"/>
        <v>0</v>
      </c>
      <c r="L18" s="66">
        <f t="shared" si="5"/>
        <v>0</v>
      </c>
    </row>
    <row r="19" spans="1:12" ht="13.5" thickBot="1" x14ac:dyDescent="0.25">
      <c r="A19" s="44" t="s">
        <v>371</v>
      </c>
      <c r="B19" s="41" t="s">
        <v>367</v>
      </c>
      <c r="C19" s="46"/>
      <c r="D19" s="45">
        <f t="shared" si="1"/>
        <v>0</v>
      </c>
      <c r="E19" s="45"/>
      <c r="F19" s="45"/>
      <c r="G19" s="45"/>
      <c r="H19" s="45">
        <f t="shared" si="2"/>
        <v>0</v>
      </c>
      <c r="I19" s="45"/>
      <c r="J19" s="45">
        <f t="shared" si="3"/>
        <v>0</v>
      </c>
      <c r="K19" s="45"/>
      <c r="L19" s="66">
        <f t="shared" si="4"/>
        <v>0</v>
      </c>
    </row>
    <row r="20" spans="1:12" ht="13.5" thickBot="1" x14ac:dyDescent="0.25">
      <c r="A20" s="44" t="s">
        <v>372</v>
      </c>
      <c r="B20" s="49" t="s">
        <v>369</v>
      </c>
      <c r="C20" s="46"/>
      <c r="D20" s="45">
        <f t="shared" si="1"/>
        <v>0</v>
      </c>
      <c r="E20" s="45"/>
      <c r="F20" s="45"/>
      <c r="G20" s="45"/>
      <c r="H20" s="45">
        <f t="shared" si="2"/>
        <v>0</v>
      </c>
      <c r="I20" s="45"/>
      <c r="J20" s="45">
        <f t="shared" si="3"/>
        <v>0</v>
      </c>
      <c r="K20" s="45"/>
      <c r="L20" s="66">
        <f t="shared" si="4"/>
        <v>0</v>
      </c>
    </row>
    <row r="21" spans="1:12" ht="13.5" thickBot="1" x14ac:dyDescent="0.25">
      <c r="A21" s="43"/>
      <c r="B21" s="49"/>
      <c r="C21" s="46"/>
      <c r="D21" s="45"/>
      <c r="E21" s="45"/>
      <c r="F21" s="45"/>
      <c r="G21" s="45"/>
      <c r="H21" s="45"/>
      <c r="I21" s="45"/>
      <c r="J21" s="45"/>
      <c r="K21" s="45"/>
      <c r="L21" s="66"/>
    </row>
    <row r="22" spans="1:12" ht="13.5" thickBot="1" x14ac:dyDescent="0.25">
      <c r="A22" s="43"/>
      <c r="B22" s="49"/>
      <c r="C22" s="46"/>
      <c r="D22" s="45"/>
      <c r="E22" s="45"/>
      <c r="F22" s="45"/>
      <c r="G22" s="45"/>
      <c r="H22" s="45"/>
      <c r="I22" s="45"/>
      <c r="J22" s="45"/>
      <c r="K22" s="45"/>
      <c r="L22" s="66"/>
    </row>
    <row r="23" spans="1:12" ht="13.5" thickBot="1" x14ac:dyDescent="0.25">
      <c r="A23" s="43"/>
      <c r="B23" s="68"/>
      <c r="C23" s="47"/>
      <c r="D23" s="69"/>
      <c r="E23" s="69"/>
      <c r="F23" s="69"/>
      <c r="G23" s="69"/>
      <c r="H23" s="69"/>
      <c r="I23" s="69"/>
      <c r="J23" s="69"/>
      <c r="K23" s="69"/>
      <c r="L23" s="70"/>
    </row>
    <row r="25" spans="1:12" x14ac:dyDescent="0.2">
      <c r="B25" s="1" t="s">
        <v>528</v>
      </c>
    </row>
    <row r="27" spans="1:12" x14ac:dyDescent="0.2">
      <c r="H27" s="28"/>
      <c r="K27" s="40"/>
    </row>
    <row r="28" spans="1:12" x14ac:dyDescent="0.2">
      <c r="B28" s="1" t="s">
        <v>373</v>
      </c>
      <c r="F28" s="28"/>
      <c r="G28" s="1" t="s">
        <v>374</v>
      </c>
      <c r="K28" s="40"/>
    </row>
    <row r="29" spans="1:12" x14ac:dyDescent="0.2">
      <c r="B29" s="1" t="s">
        <v>375</v>
      </c>
      <c r="F29" s="28"/>
      <c r="G29" s="1" t="s">
        <v>376</v>
      </c>
      <c r="K29" s="40"/>
    </row>
    <row r="30" spans="1:12" x14ac:dyDescent="0.2">
      <c r="H30" s="28"/>
      <c r="K30" s="40"/>
    </row>
  </sheetData>
  <mergeCells count="14">
    <mergeCell ref="J9:J11"/>
    <mergeCell ref="K9:K11"/>
    <mergeCell ref="L9:L11"/>
    <mergeCell ref="D10:D11"/>
    <mergeCell ref="E10:G10"/>
    <mergeCell ref="H9:H11"/>
    <mergeCell ref="I9:I11"/>
    <mergeCell ref="A1:D1"/>
    <mergeCell ref="A2:D2"/>
    <mergeCell ref="A3:D3"/>
    <mergeCell ref="A9:A11"/>
    <mergeCell ref="B9:B11"/>
    <mergeCell ref="C9:C11"/>
    <mergeCell ref="D9:G9"/>
  </mergeCells>
  <pageMargins left="0.7" right="0.7" top="0.75" bottom="0.75" header="0.3" footer="0.3"/>
  <pageSetup orientation="landscape" verticalDpi="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topLeftCell="A10" workbookViewId="0">
      <selection activeCell="C28" sqref="C28"/>
    </sheetView>
  </sheetViews>
  <sheetFormatPr defaultRowHeight="11.25" x14ac:dyDescent="0.2"/>
  <cols>
    <col min="1" max="1" width="21.85546875" style="51" customWidth="1"/>
    <col min="2" max="2" width="9" style="51" customWidth="1"/>
    <col min="3" max="3" width="9.85546875" style="51" customWidth="1"/>
    <col min="4" max="4" width="5.42578125" style="51" customWidth="1"/>
    <col min="5" max="5" width="9" style="51" customWidth="1"/>
    <col min="6" max="6" width="8.7109375" style="51" customWidth="1"/>
    <col min="7" max="7" width="8.28515625" style="51" customWidth="1"/>
    <col min="8" max="8" width="7.140625" style="51" customWidth="1"/>
    <col min="9" max="9" width="5.140625" style="51" customWidth="1"/>
    <col min="10" max="10" width="7" style="51" customWidth="1"/>
    <col min="11" max="11" width="7.85546875" style="51" customWidth="1"/>
    <col min="12" max="12" width="8.140625" style="51" customWidth="1"/>
    <col min="13" max="13" width="7.7109375" style="51" customWidth="1"/>
    <col min="14" max="14" width="6.7109375" style="51" customWidth="1"/>
    <col min="15" max="15" width="7.28515625" style="51" customWidth="1"/>
    <col min="16" max="16" width="9.5703125" style="51" customWidth="1"/>
    <col min="17" max="17" width="8.5703125" style="51" customWidth="1"/>
    <col min="18" max="18" width="7.5703125" style="51" customWidth="1"/>
    <col min="19" max="19" width="5.42578125" style="51" customWidth="1"/>
    <col min="20" max="20" width="9.42578125" style="51" customWidth="1"/>
    <col min="21" max="16384" width="9.140625" style="51"/>
  </cols>
  <sheetData>
    <row r="1" spans="1:25" x14ac:dyDescent="0.2">
      <c r="B1" s="938" t="s">
        <v>0</v>
      </c>
      <c r="C1" s="938"/>
      <c r="D1" s="938"/>
      <c r="E1" s="938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52"/>
      <c r="V1" s="52"/>
      <c r="W1" s="52"/>
      <c r="X1" s="52"/>
      <c r="Y1" s="52"/>
    </row>
    <row r="2" spans="1:25" ht="12.75" x14ac:dyDescent="0.2">
      <c r="B2" s="938" t="s">
        <v>1</v>
      </c>
      <c r="C2" s="938"/>
      <c r="D2" s="938"/>
      <c r="E2" s="938"/>
      <c r="F2" s="79"/>
      <c r="G2" s="79"/>
      <c r="H2" s="79"/>
      <c r="I2" s="79"/>
      <c r="J2" s="126"/>
      <c r="K2" s="133" t="s">
        <v>523</v>
      </c>
      <c r="L2" s="79"/>
      <c r="M2" s="79"/>
      <c r="N2" s="133"/>
      <c r="O2" s="79"/>
      <c r="P2" s="79"/>
      <c r="Q2" s="126"/>
      <c r="R2" s="79"/>
      <c r="S2" s="79"/>
      <c r="T2" s="79"/>
      <c r="U2" s="52"/>
      <c r="V2" s="52"/>
      <c r="W2" s="52"/>
      <c r="X2" s="52"/>
      <c r="Y2" s="52"/>
    </row>
    <row r="3" spans="1:25" ht="15" customHeight="1" x14ac:dyDescent="0.2">
      <c r="B3" s="938" t="s">
        <v>2</v>
      </c>
      <c r="C3" s="938"/>
      <c r="D3" s="938"/>
      <c r="E3" s="938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52"/>
      <c r="V3" s="52"/>
      <c r="W3" s="52"/>
      <c r="X3" s="52"/>
      <c r="Y3" s="52"/>
    </row>
    <row r="4" spans="1:25" x14ac:dyDescent="0.2"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52"/>
      <c r="V4" s="52"/>
      <c r="W4" s="52"/>
      <c r="X4" s="52"/>
      <c r="Y4" s="52"/>
    </row>
    <row r="5" spans="1:25" ht="15.75" x14ac:dyDescent="0.25">
      <c r="F5" s="79"/>
      <c r="G5" s="132" t="s">
        <v>47</v>
      </c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52"/>
      <c r="V5" s="52"/>
      <c r="W5" s="52"/>
      <c r="X5" s="52"/>
      <c r="Y5" s="52"/>
    </row>
    <row r="6" spans="1:25" ht="15.75" x14ac:dyDescent="0.25">
      <c r="F6" s="79"/>
      <c r="G6" s="79"/>
      <c r="H6" s="79"/>
      <c r="I6" s="79"/>
      <c r="J6" s="132" t="s">
        <v>670</v>
      </c>
      <c r="K6" s="79"/>
      <c r="L6" s="79"/>
      <c r="M6" s="79"/>
      <c r="N6" s="79"/>
      <c r="O6" s="79"/>
      <c r="P6" s="79"/>
      <c r="Q6" s="79"/>
      <c r="R6" s="79"/>
      <c r="S6" s="79"/>
      <c r="T6" s="79"/>
      <c r="U6" s="52"/>
      <c r="V6" s="52"/>
      <c r="W6" s="52"/>
      <c r="X6" s="52"/>
      <c r="Y6" s="52"/>
    </row>
    <row r="7" spans="1:25" ht="11.25" customHeight="1" thickBot="1" x14ac:dyDescent="0.25"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52"/>
      <c r="V7" s="52"/>
      <c r="W7" s="52"/>
      <c r="X7" s="52"/>
      <c r="Y7" s="52"/>
    </row>
    <row r="8" spans="1:25" ht="18.75" customHeight="1" x14ac:dyDescent="0.2">
      <c r="A8" s="939" t="s">
        <v>475</v>
      </c>
      <c r="B8" s="936"/>
      <c r="C8" s="942" t="s">
        <v>539</v>
      </c>
      <c r="D8" s="944" t="s">
        <v>476</v>
      </c>
      <c r="E8" s="944" t="s">
        <v>477</v>
      </c>
      <c r="F8" s="936" t="s">
        <v>478</v>
      </c>
      <c r="G8" s="936"/>
      <c r="H8" s="936"/>
      <c r="I8" s="936"/>
      <c r="J8" s="936"/>
      <c r="K8" s="936" t="s">
        <v>479</v>
      </c>
      <c r="L8" s="936"/>
      <c r="M8" s="936"/>
      <c r="N8" s="936"/>
      <c r="O8" s="936"/>
      <c r="P8" s="936" t="s">
        <v>480</v>
      </c>
      <c r="Q8" s="936"/>
      <c r="R8" s="936"/>
      <c r="S8" s="936"/>
      <c r="T8" s="937"/>
      <c r="U8" s="52"/>
      <c r="V8" s="52"/>
      <c r="W8" s="52"/>
      <c r="X8" s="52"/>
      <c r="Y8" s="52"/>
    </row>
    <row r="9" spans="1:25" ht="73.5" x14ac:dyDescent="0.2">
      <c r="A9" s="940"/>
      <c r="B9" s="941"/>
      <c r="C9" s="943"/>
      <c r="D9" s="945"/>
      <c r="E9" s="945"/>
      <c r="F9" s="134" t="s">
        <v>481</v>
      </c>
      <c r="G9" s="135" t="s">
        <v>482</v>
      </c>
      <c r="H9" s="135" t="s">
        <v>483</v>
      </c>
      <c r="I9" s="136" t="s">
        <v>484</v>
      </c>
      <c r="J9" s="137" t="s">
        <v>485</v>
      </c>
      <c r="K9" s="136" t="s">
        <v>481</v>
      </c>
      <c r="L9" s="135" t="s">
        <v>482</v>
      </c>
      <c r="M9" s="135" t="s">
        <v>483</v>
      </c>
      <c r="N9" s="136" t="s">
        <v>486</v>
      </c>
      <c r="O9" s="135" t="s">
        <v>485</v>
      </c>
      <c r="P9" s="134" t="s">
        <v>481</v>
      </c>
      <c r="Q9" s="138" t="s">
        <v>482</v>
      </c>
      <c r="R9" s="138" t="s">
        <v>483</v>
      </c>
      <c r="S9" s="136" t="s">
        <v>484</v>
      </c>
      <c r="T9" s="139" t="s">
        <v>485</v>
      </c>
      <c r="U9" s="52"/>
      <c r="V9" s="52"/>
      <c r="W9" s="52"/>
      <c r="X9" s="52"/>
      <c r="Y9" s="52"/>
    </row>
    <row r="10" spans="1:25" ht="12" thickBot="1" x14ac:dyDescent="0.25">
      <c r="A10" s="950" t="s">
        <v>487</v>
      </c>
      <c r="B10" s="951"/>
      <c r="C10" s="140" t="s">
        <v>488</v>
      </c>
      <c r="D10" s="141"/>
      <c r="E10" s="140" t="s">
        <v>489</v>
      </c>
      <c r="F10" s="140" t="s">
        <v>490</v>
      </c>
      <c r="G10" s="140" t="s">
        <v>491</v>
      </c>
      <c r="H10" s="140" t="s">
        <v>492</v>
      </c>
      <c r="I10" s="140" t="s">
        <v>493</v>
      </c>
      <c r="J10" s="140" t="s">
        <v>494</v>
      </c>
      <c r="K10" s="140" t="s">
        <v>495</v>
      </c>
      <c r="L10" s="140" t="s">
        <v>496</v>
      </c>
      <c r="M10" s="140" t="s">
        <v>497</v>
      </c>
      <c r="N10" s="140" t="s">
        <v>498</v>
      </c>
      <c r="O10" s="140" t="s">
        <v>499</v>
      </c>
      <c r="P10" s="140" t="s">
        <v>500</v>
      </c>
      <c r="Q10" s="140" t="s">
        <v>501</v>
      </c>
      <c r="R10" s="142">
        <v>16</v>
      </c>
      <c r="S10" s="142"/>
      <c r="T10" s="143" t="s">
        <v>502</v>
      </c>
      <c r="U10" s="52"/>
      <c r="V10" s="52"/>
      <c r="W10" s="52"/>
      <c r="X10" s="52"/>
      <c r="Y10" s="52"/>
    </row>
    <row r="11" spans="1:25" x14ac:dyDescent="0.2">
      <c r="A11" s="952" t="s">
        <v>503</v>
      </c>
      <c r="B11" s="953"/>
      <c r="C11" s="953"/>
      <c r="D11" s="953"/>
      <c r="E11" s="953"/>
      <c r="F11" s="953"/>
      <c r="G11" s="953"/>
      <c r="H11" s="953"/>
      <c r="I11" s="953"/>
      <c r="J11" s="953"/>
      <c r="K11" s="953"/>
      <c r="L11" s="953"/>
      <c r="M11" s="953"/>
      <c r="N11" s="953"/>
      <c r="O11" s="953"/>
      <c r="P11" s="953"/>
      <c r="Q11" s="953"/>
      <c r="R11" s="953"/>
      <c r="S11" s="953"/>
      <c r="T11" s="954"/>
      <c r="U11" s="52"/>
      <c r="V11" s="52"/>
      <c r="W11" s="52"/>
      <c r="X11" s="52"/>
      <c r="Y11" s="52"/>
    </row>
    <row r="12" spans="1:25" x14ac:dyDescent="0.2">
      <c r="A12" s="144"/>
      <c r="B12" s="145" t="s">
        <v>504</v>
      </c>
      <c r="C12" s="145"/>
      <c r="D12" s="145"/>
      <c r="E12" s="138"/>
      <c r="F12" s="145"/>
      <c r="G12" s="146"/>
      <c r="H12" s="138"/>
      <c r="I12" s="145"/>
      <c r="J12" s="145"/>
      <c r="K12" s="145"/>
      <c r="L12" s="138"/>
      <c r="M12" s="138"/>
      <c r="N12" s="145"/>
      <c r="O12" s="145"/>
      <c r="P12" s="145"/>
      <c r="Q12" s="138"/>
      <c r="R12" s="145"/>
      <c r="S12" s="145"/>
      <c r="T12" s="147"/>
      <c r="U12" s="52"/>
      <c r="V12" s="52"/>
      <c r="W12" s="52"/>
      <c r="X12" s="52"/>
      <c r="Y12" s="52"/>
    </row>
    <row r="13" spans="1:25" x14ac:dyDescent="0.2">
      <c r="A13" s="144"/>
      <c r="B13" s="145" t="s">
        <v>505</v>
      </c>
      <c r="C13" s="145"/>
      <c r="D13" s="145"/>
      <c r="E13" s="138"/>
      <c r="F13" s="145"/>
      <c r="G13" s="146"/>
      <c r="H13" s="138"/>
      <c r="I13" s="145"/>
      <c r="J13" s="145"/>
      <c r="K13" s="145"/>
      <c r="L13" s="138"/>
      <c r="M13" s="138"/>
      <c r="N13" s="145"/>
      <c r="O13" s="145"/>
      <c r="P13" s="145"/>
      <c r="Q13" s="138"/>
      <c r="R13" s="145"/>
      <c r="S13" s="145"/>
      <c r="T13" s="147"/>
      <c r="U13" s="52"/>
      <c r="V13" s="52"/>
      <c r="W13" s="52"/>
      <c r="X13" s="52"/>
      <c r="Y13" s="52"/>
    </row>
    <row r="14" spans="1:25" x14ac:dyDescent="0.2">
      <c r="A14" s="144"/>
      <c r="B14" s="145" t="s">
        <v>506</v>
      </c>
      <c r="C14" s="145"/>
      <c r="D14" s="145"/>
      <c r="E14" s="138"/>
      <c r="F14" s="145"/>
      <c r="G14" s="146"/>
      <c r="H14" s="138"/>
      <c r="I14" s="145"/>
      <c r="J14" s="145"/>
      <c r="K14" s="145"/>
      <c r="L14" s="138"/>
      <c r="M14" s="138"/>
      <c r="N14" s="145"/>
      <c r="O14" s="145"/>
      <c r="P14" s="145"/>
      <c r="Q14" s="138"/>
      <c r="R14" s="145"/>
      <c r="S14" s="145"/>
      <c r="T14" s="147"/>
      <c r="U14" s="52"/>
      <c r="V14" s="52"/>
      <c r="W14" s="52"/>
      <c r="X14" s="52"/>
      <c r="Y14" s="52"/>
    </row>
    <row r="15" spans="1:25" x14ac:dyDescent="0.2">
      <c r="A15" s="144"/>
      <c r="B15" s="145"/>
      <c r="C15" s="145"/>
      <c r="D15" s="145"/>
      <c r="E15" s="138"/>
      <c r="F15" s="145"/>
      <c r="G15" s="146"/>
      <c r="H15" s="138"/>
      <c r="I15" s="145"/>
      <c r="J15" s="145"/>
      <c r="K15" s="145"/>
      <c r="L15" s="138"/>
      <c r="M15" s="138"/>
      <c r="N15" s="145"/>
      <c r="O15" s="145"/>
      <c r="P15" s="145"/>
      <c r="Q15" s="138"/>
      <c r="R15" s="145"/>
      <c r="S15" s="145"/>
      <c r="T15" s="147"/>
      <c r="U15" s="52"/>
      <c r="V15" s="52"/>
      <c r="W15" s="52"/>
      <c r="X15" s="52"/>
      <c r="Y15" s="52"/>
    </row>
    <row r="16" spans="1:25" x14ac:dyDescent="0.2">
      <c r="A16" s="144"/>
      <c r="B16" s="145" t="s">
        <v>507</v>
      </c>
      <c r="C16" s="145"/>
      <c r="D16" s="145"/>
      <c r="E16" s="138"/>
      <c r="F16" s="145"/>
      <c r="G16" s="146"/>
      <c r="H16" s="138"/>
      <c r="I16" s="145"/>
      <c r="J16" s="145"/>
      <c r="K16" s="145"/>
      <c r="L16" s="138"/>
      <c r="M16" s="138"/>
      <c r="N16" s="145"/>
      <c r="O16" s="145"/>
      <c r="P16" s="145"/>
      <c r="Q16" s="138"/>
      <c r="R16" s="145"/>
      <c r="S16" s="145"/>
      <c r="T16" s="147"/>
      <c r="U16" s="52"/>
      <c r="V16" s="52"/>
      <c r="W16" s="52"/>
      <c r="X16" s="52"/>
      <c r="Y16" s="52"/>
    </row>
    <row r="17" spans="1:25" x14ac:dyDescent="0.2">
      <c r="A17" s="144"/>
      <c r="B17" s="148" t="s">
        <v>76</v>
      </c>
      <c r="C17" s="145"/>
      <c r="D17" s="145"/>
      <c r="E17" s="138"/>
      <c r="F17" s="145"/>
      <c r="G17" s="146"/>
      <c r="H17" s="138"/>
      <c r="I17" s="145"/>
      <c r="J17" s="145"/>
      <c r="K17" s="145"/>
      <c r="L17" s="138"/>
      <c r="M17" s="138"/>
      <c r="N17" s="145"/>
      <c r="O17" s="145"/>
      <c r="P17" s="145"/>
      <c r="Q17" s="138"/>
      <c r="R17" s="145"/>
      <c r="S17" s="145"/>
      <c r="T17" s="147"/>
      <c r="U17" s="52"/>
      <c r="V17" s="52"/>
      <c r="W17" s="52"/>
      <c r="X17" s="52"/>
      <c r="Y17" s="52"/>
    </row>
    <row r="18" spans="1:25" x14ac:dyDescent="0.2">
      <c r="A18" s="144"/>
      <c r="B18" s="148" t="s">
        <v>99</v>
      </c>
      <c r="C18" s="145"/>
      <c r="D18" s="145"/>
      <c r="E18" s="138"/>
      <c r="F18" s="145"/>
      <c r="G18" s="146"/>
      <c r="H18" s="138"/>
      <c r="I18" s="145"/>
      <c r="J18" s="145"/>
      <c r="K18" s="145"/>
      <c r="L18" s="138"/>
      <c r="M18" s="138"/>
      <c r="N18" s="145"/>
      <c r="O18" s="145"/>
      <c r="P18" s="145"/>
      <c r="Q18" s="138"/>
      <c r="R18" s="145"/>
      <c r="S18" s="145"/>
      <c r="T18" s="147"/>
      <c r="U18" s="52"/>
      <c r="V18" s="52"/>
      <c r="W18" s="52"/>
      <c r="X18" s="52"/>
      <c r="Y18" s="52"/>
    </row>
    <row r="19" spans="1:25" x14ac:dyDescent="0.2">
      <c r="A19" s="144"/>
      <c r="B19" s="145"/>
      <c r="C19" s="145"/>
      <c r="D19" s="145"/>
      <c r="E19" s="138"/>
      <c r="F19" s="145"/>
      <c r="G19" s="146"/>
      <c r="H19" s="138"/>
      <c r="I19" s="145"/>
      <c r="J19" s="145"/>
      <c r="K19" s="145"/>
      <c r="L19" s="138"/>
      <c r="M19" s="138"/>
      <c r="N19" s="145"/>
      <c r="O19" s="145"/>
      <c r="P19" s="145"/>
      <c r="Q19" s="138"/>
      <c r="R19" s="145"/>
      <c r="S19" s="145"/>
      <c r="T19" s="147"/>
      <c r="U19" s="52"/>
      <c r="V19" s="52"/>
      <c r="W19" s="52"/>
      <c r="X19" s="52"/>
      <c r="Y19" s="52"/>
    </row>
    <row r="20" spans="1:25" x14ac:dyDescent="0.2">
      <c r="A20" s="144"/>
      <c r="B20" s="145"/>
      <c r="C20" s="145"/>
      <c r="D20" s="145"/>
      <c r="E20" s="138"/>
      <c r="F20" s="145"/>
      <c r="G20" s="146"/>
      <c r="H20" s="138"/>
      <c r="I20" s="145"/>
      <c r="J20" s="145"/>
      <c r="K20" s="145"/>
      <c r="L20" s="138"/>
      <c r="M20" s="138"/>
      <c r="N20" s="145"/>
      <c r="O20" s="145"/>
      <c r="P20" s="145"/>
      <c r="Q20" s="138"/>
      <c r="R20" s="145"/>
      <c r="S20" s="145"/>
      <c r="T20" s="147"/>
      <c r="U20" s="52"/>
      <c r="V20" s="52"/>
      <c r="W20" s="52"/>
      <c r="X20" s="52"/>
      <c r="Y20" s="52"/>
    </row>
    <row r="21" spans="1:25" x14ac:dyDescent="0.2">
      <c r="A21" s="144"/>
      <c r="B21" s="145"/>
      <c r="C21" s="145"/>
      <c r="D21" s="145"/>
      <c r="E21" s="138"/>
      <c r="F21" s="145"/>
      <c r="G21" s="146"/>
      <c r="H21" s="138"/>
      <c r="I21" s="145"/>
      <c r="J21" s="145"/>
      <c r="K21" s="145"/>
      <c r="L21" s="138"/>
      <c r="M21" s="138"/>
      <c r="N21" s="145"/>
      <c r="O21" s="145"/>
      <c r="P21" s="145"/>
      <c r="Q21" s="138"/>
      <c r="R21" s="145"/>
      <c r="S21" s="145"/>
      <c r="T21" s="147"/>
      <c r="U21" s="52"/>
      <c r="V21" s="52"/>
      <c r="W21" s="52"/>
      <c r="X21" s="52"/>
      <c r="Y21" s="52"/>
    </row>
    <row r="22" spans="1:25" ht="11.25" customHeight="1" x14ac:dyDescent="0.2">
      <c r="A22" s="144"/>
      <c r="B22" s="145"/>
      <c r="C22" s="145"/>
      <c r="D22" s="145"/>
      <c r="E22" s="138"/>
      <c r="F22" s="145"/>
      <c r="G22" s="146"/>
      <c r="H22" s="138"/>
      <c r="I22" s="145"/>
      <c r="J22" s="145"/>
      <c r="K22" s="145"/>
      <c r="L22" s="138"/>
      <c r="M22" s="138"/>
      <c r="N22" s="145"/>
      <c r="O22" s="145"/>
      <c r="P22" s="145"/>
      <c r="Q22" s="138"/>
      <c r="R22" s="145"/>
      <c r="S22" s="145"/>
      <c r="T22" s="147"/>
      <c r="U22" s="52"/>
      <c r="V22" s="52"/>
      <c r="W22" s="52"/>
      <c r="X22" s="52"/>
      <c r="Y22" s="52"/>
    </row>
    <row r="23" spans="1:25" x14ac:dyDescent="0.2">
      <c r="A23" s="955" t="s">
        <v>104</v>
      </c>
      <c r="B23" s="947"/>
      <c r="C23" s="145">
        <f>C12+C13+C16+C17</f>
        <v>0</v>
      </c>
      <c r="D23" s="145"/>
      <c r="E23" s="138"/>
      <c r="F23" s="145"/>
      <c r="G23" s="146"/>
      <c r="H23" s="138"/>
      <c r="I23" s="145"/>
      <c r="J23" s="145"/>
      <c r="K23" s="145"/>
      <c r="L23" s="138"/>
      <c r="M23" s="138"/>
      <c r="N23" s="145"/>
      <c r="O23" s="145"/>
      <c r="P23" s="145"/>
      <c r="Q23" s="138"/>
      <c r="R23" s="145"/>
      <c r="S23" s="145"/>
      <c r="T23" s="147"/>
      <c r="U23" s="52"/>
      <c r="V23" s="52"/>
      <c r="W23" s="52"/>
      <c r="X23" s="52"/>
      <c r="Y23" s="52"/>
    </row>
    <row r="24" spans="1:25" x14ac:dyDescent="0.2">
      <c r="A24" s="955" t="s">
        <v>105</v>
      </c>
      <c r="B24" s="947"/>
      <c r="C24" s="145">
        <f>C14+C18</f>
        <v>0</v>
      </c>
      <c r="D24" s="145"/>
      <c r="E24" s="138"/>
      <c r="F24" s="145"/>
      <c r="G24" s="146"/>
      <c r="H24" s="138"/>
      <c r="I24" s="145"/>
      <c r="J24" s="145"/>
      <c r="K24" s="145"/>
      <c r="L24" s="138"/>
      <c r="M24" s="138"/>
      <c r="N24" s="145"/>
      <c r="O24" s="145"/>
      <c r="P24" s="145"/>
      <c r="Q24" s="138"/>
      <c r="R24" s="145"/>
      <c r="S24" s="145"/>
      <c r="T24" s="147"/>
      <c r="U24" s="52"/>
      <c r="V24" s="52"/>
      <c r="W24" s="52"/>
      <c r="X24" s="52"/>
      <c r="Y24" s="52"/>
    </row>
    <row r="25" spans="1:25" x14ac:dyDescent="0.2">
      <c r="A25" s="956" t="s">
        <v>530</v>
      </c>
      <c r="B25" s="947"/>
      <c r="C25" s="947"/>
      <c r="D25" s="947"/>
      <c r="E25" s="947"/>
      <c r="F25" s="947"/>
      <c r="G25" s="947"/>
      <c r="H25" s="947"/>
      <c r="I25" s="947"/>
      <c r="J25" s="947"/>
      <c r="K25" s="947"/>
      <c r="L25" s="947"/>
      <c r="M25" s="947"/>
      <c r="N25" s="947"/>
      <c r="O25" s="947"/>
      <c r="P25" s="947"/>
      <c r="Q25" s="947"/>
      <c r="R25" s="947"/>
      <c r="S25" s="947"/>
      <c r="T25" s="957"/>
      <c r="U25" s="52"/>
      <c r="V25" s="52"/>
      <c r="W25" s="52"/>
      <c r="X25" s="52"/>
      <c r="Y25" s="52"/>
    </row>
    <row r="26" spans="1:25" ht="11.25" customHeight="1" x14ac:dyDescent="0.2">
      <c r="A26" s="14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149"/>
      <c r="U26" s="52"/>
      <c r="V26" s="52"/>
      <c r="W26" s="52"/>
      <c r="X26" s="52"/>
      <c r="Y26" s="52"/>
    </row>
    <row r="27" spans="1:25" ht="12" customHeight="1" x14ac:dyDescent="0.2">
      <c r="A27" s="958" t="s">
        <v>234</v>
      </c>
      <c r="B27" s="145" t="s">
        <v>504</v>
      </c>
      <c r="C27" s="128">
        <f>'[1]anexa 8'!C27/1000</f>
        <v>0</v>
      </c>
      <c r="D27" s="128">
        <f>'[1]anexa 8'!D27/1000</f>
        <v>0</v>
      </c>
      <c r="E27" s="128">
        <f>'[1]anexa 8'!E27/1000</f>
        <v>0</v>
      </c>
      <c r="F27" s="128">
        <f>'[1]anexa 8'!F27/1000</f>
        <v>0</v>
      </c>
      <c r="G27" s="128">
        <f>'[1]anexa 8'!G27/1000</f>
        <v>0</v>
      </c>
      <c r="H27" s="128">
        <f>'[1]anexa 8'!H27/1000</f>
        <v>0</v>
      </c>
      <c r="I27" s="128">
        <f>'[1]anexa 8'!I27/1000</f>
        <v>0</v>
      </c>
      <c r="J27" s="128">
        <f>'[1]anexa 8'!J27/1000</f>
        <v>0</v>
      </c>
      <c r="K27" s="128">
        <f>'[1]anexa 8'!K27/1000</f>
        <v>0</v>
      </c>
      <c r="L27" s="128">
        <f>'[1]anexa 8'!L27/1000</f>
        <v>0</v>
      </c>
      <c r="M27" s="128">
        <f>'[1]anexa 8'!M27/1000</f>
        <v>0</v>
      </c>
      <c r="N27" s="128">
        <f>'[1]anexa 8'!N27/1000</f>
        <v>0</v>
      </c>
      <c r="O27" s="128">
        <f>'[1]anexa 8'!O27/1000</f>
        <v>0</v>
      </c>
      <c r="P27" s="128">
        <f>'[1]anexa 8'!P27/1000</f>
        <v>0</v>
      </c>
      <c r="Q27" s="128">
        <f>'[1]anexa 8'!Q27/1000</f>
        <v>0</v>
      </c>
      <c r="R27" s="128">
        <f>'[1]anexa 8'!R27/1000</f>
        <v>0</v>
      </c>
      <c r="S27" s="128">
        <f>'[1]anexa 8'!S27/1000</f>
        <v>0</v>
      </c>
      <c r="T27" s="151">
        <f>'[1]anexa 8'!T27/1000</f>
        <v>0</v>
      </c>
      <c r="U27" s="52"/>
      <c r="V27" s="52"/>
      <c r="W27" s="52"/>
      <c r="X27" s="52"/>
      <c r="Y27" s="52"/>
    </row>
    <row r="28" spans="1:25" x14ac:dyDescent="0.2">
      <c r="A28" s="958"/>
      <c r="B28" s="150" t="s">
        <v>100</v>
      </c>
      <c r="C28" s="128">
        <v>51012.864000000009</v>
      </c>
      <c r="D28" s="128">
        <v>0</v>
      </c>
      <c r="E28" s="128">
        <v>24471.424120108004</v>
      </c>
      <c r="F28" s="128">
        <v>5375.6687336435998</v>
      </c>
      <c r="G28" s="128">
        <v>4894.2848240215999</v>
      </c>
      <c r="H28" s="128">
        <v>481.38390962200009</v>
      </c>
      <c r="I28" s="128">
        <v>0</v>
      </c>
      <c r="J28" s="128">
        <v>0</v>
      </c>
      <c r="K28" s="128">
        <v>5273.2289052750184</v>
      </c>
      <c r="L28" s="128">
        <v>4894.2848240216008</v>
      </c>
      <c r="M28" s="128">
        <v>378.94408125341607</v>
      </c>
      <c r="N28" s="128">
        <v>0</v>
      </c>
      <c r="O28" s="128">
        <v>0</v>
      </c>
      <c r="P28" s="128">
        <v>5172.1771510542967</v>
      </c>
      <c r="Q28" s="128">
        <v>4894.2848240216008</v>
      </c>
      <c r="R28" s="128">
        <v>277.89232703269545</v>
      </c>
      <c r="S28" s="128">
        <v>0</v>
      </c>
      <c r="T28" s="151">
        <v>0</v>
      </c>
      <c r="U28" s="52"/>
      <c r="V28" s="52"/>
      <c r="W28" s="52"/>
      <c r="X28" s="52"/>
      <c r="Y28" s="52"/>
    </row>
    <row r="29" spans="1:25" ht="15.75" customHeight="1" x14ac:dyDescent="0.2">
      <c r="A29" s="144"/>
      <c r="B29" s="148" t="s">
        <v>101</v>
      </c>
      <c r="C29" s="128">
        <v>11520</v>
      </c>
      <c r="D29" s="128">
        <v>11</v>
      </c>
      <c r="E29" s="128">
        <v>5526.2689400000008</v>
      </c>
      <c r="F29" s="128">
        <v>1213.9624979999999</v>
      </c>
      <c r="G29" s="128">
        <v>1105.253788</v>
      </c>
      <c r="H29" s="128">
        <v>108.70871000000001</v>
      </c>
      <c r="I29" s="128">
        <v>0</v>
      </c>
      <c r="J29" s="128">
        <v>0</v>
      </c>
      <c r="K29" s="128">
        <v>1190.8289836220174</v>
      </c>
      <c r="L29" s="128">
        <v>1105.2537880000002</v>
      </c>
      <c r="M29" s="128">
        <v>85.575195622017077</v>
      </c>
      <c r="N29" s="128">
        <v>0</v>
      </c>
      <c r="O29" s="128">
        <v>0</v>
      </c>
      <c r="P29" s="128">
        <v>1168.0089316323326</v>
      </c>
      <c r="Q29" s="128">
        <v>1105.2537880000002</v>
      </c>
      <c r="R29" s="128">
        <v>62.755143632332647</v>
      </c>
      <c r="S29" s="128">
        <v>0</v>
      </c>
      <c r="T29" s="151">
        <v>0</v>
      </c>
      <c r="U29" s="52"/>
      <c r="V29" s="52"/>
      <c r="W29" s="52"/>
      <c r="X29" s="52"/>
      <c r="Y29" s="52"/>
    </row>
    <row r="30" spans="1:25" ht="17.25" customHeight="1" x14ac:dyDescent="0.2">
      <c r="A30" s="144"/>
      <c r="C30" s="128">
        <v>0</v>
      </c>
      <c r="D30" s="128">
        <v>0</v>
      </c>
      <c r="E30" s="128">
        <v>0</v>
      </c>
      <c r="F30" s="128">
        <v>0</v>
      </c>
      <c r="G30" s="128">
        <v>0</v>
      </c>
      <c r="H30" s="128">
        <v>0</v>
      </c>
      <c r="I30" s="128">
        <v>0</v>
      </c>
      <c r="J30" s="128">
        <v>0</v>
      </c>
      <c r="K30" s="128">
        <v>0</v>
      </c>
      <c r="L30" s="128">
        <v>0</v>
      </c>
      <c r="M30" s="128">
        <v>0</v>
      </c>
      <c r="N30" s="128">
        <v>0</v>
      </c>
      <c r="O30" s="128">
        <v>0</v>
      </c>
      <c r="P30" s="128">
        <v>0</v>
      </c>
      <c r="Q30" s="128">
        <v>0</v>
      </c>
      <c r="R30" s="128">
        <v>0</v>
      </c>
      <c r="S30" s="128">
        <v>0</v>
      </c>
      <c r="T30" s="151">
        <v>0</v>
      </c>
      <c r="U30" s="52"/>
      <c r="V30" s="52"/>
      <c r="W30" s="52"/>
      <c r="X30" s="52"/>
      <c r="Y30" s="52"/>
    </row>
    <row r="31" spans="1:25" ht="12" customHeight="1" x14ac:dyDescent="0.2">
      <c r="A31" s="958" t="s">
        <v>235</v>
      </c>
      <c r="B31" s="148" t="s">
        <v>38</v>
      </c>
      <c r="C31" s="128">
        <v>0</v>
      </c>
      <c r="D31" s="128">
        <v>0</v>
      </c>
      <c r="E31" s="128">
        <v>0</v>
      </c>
      <c r="F31" s="128">
        <v>0</v>
      </c>
      <c r="G31" s="128">
        <v>0</v>
      </c>
      <c r="H31" s="128">
        <v>0</v>
      </c>
      <c r="I31" s="128">
        <v>0</v>
      </c>
      <c r="J31" s="128">
        <v>0</v>
      </c>
      <c r="K31" s="128">
        <v>0</v>
      </c>
      <c r="L31" s="128">
        <v>0</v>
      </c>
      <c r="M31" s="128">
        <v>0</v>
      </c>
      <c r="N31" s="128">
        <v>0</v>
      </c>
      <c r="O31" s="128">
        <v>0</v>
      </c>
      <c r="P31" s="128">
        <v>0</v>
      </c>
      <c r="Q31" s="128">
        <v>0</v>
      </c>
      <c r="R31" s="128">
        <v>0</v>
      </c>
      <c r="S31" s="128">
        <v>0</v>
      </c>
      <c r="T31" s="151">
        <v>0</v>
      </c>
      <c r="U31" s="52"/>
      <c r="V31" s="52"/>
      <c r="W31" s="52"/>
      <c r="X31" s="52"/>
      <c r="Y31" s="52"/>
    </row>
    <row r="32" spans="1:25" ht="11.25" customHeight="1" x14ac:dyDescent="0.2">
      <c r="A32" s="958"/>
      <c r="B32" s="150" t="s">
        <v>108</v>
      </c>
      <c r="C32" s="128">
        <v>68681.381999999998</v>
      </c>
      <c r="D32" s="128">
        <v>0</v>
      </c>
      <c r="E32" s="128">
        <v>6863.7100000000009</v>
      </c>
      <c r="F32" s="128">
        <v>710.20947666666666</v>
      </c>
      <c r="G32" s="128">
        <v>0</v>
      </c>
      <c r="H32" s="128">
        <v>419.20293333333342</v>
      </c>
      <c r="I32" s="128">
        <v>0</v>
      </c>
      <c r="J32" s="128">
        <v>291.00654333333335</v>
      </c>
      <c r="K32" s="128">
        <v>5430.1537581200009</v>
      </c>
      <c r="L32" s="128">
        <v>3121.8810000000003</v>
      </c>
      <c r="M32" s="128">
        <v>2249.7230977200002</v>
      </c>
      <c r="N32" s="128">
        <v>0</v>
      </c>
      <c r="O32" s="128">
        <v>58.549660400000008</v>
      </c>
      <c r="P32" s="128">
        <v>8803.70442</v>
      </c>
      <c r="Q32" s="128">
        <v>6243.7620000000006</v>
      </c>
      <c r="R32" s="128">
        <v>2559.9424200000003</v>
      </c>
      <c r="S32" s="128">
        <v>0</v>
      </c>
      <c r="T32" s="151">
        <v>0</v>
      </c>
      <c r="U32" s="52"/>
      <c r="V32" s="52"/>
      <c r="W32" s="52"/>
      <c r="X32" s="52"/>
      <c r="Y32" s="52"/>
    </row>
    <row r="33" spans="1:25" ht="12" customHeight="1" x14ac:dyDescent="0.2">
      <c r="A33" s="144"/>
      <c r="B33" s="148" t="s">
        <v>109</v>
      </c>
      <c r="C33" s="128">
        <v>15510</v>
      </c>
      <c r="D33" s="128">
        <v>11</v>
      </c>
      <c r="E33" s="128">
        <v>1550</v>
      </c>
      <c r="F33" s="128">
        <v>160.38333333333333</v>
      </c>
      <c r="G33" s="128">
        <v>0</v>
      </c>
      <c r="H33" s="128">
        <v>94.666666666666671</v>
      </c>
      <c r="I33" s="128">
        <v>0</v>
      </c>
      <c r="J33" s="128">
        <v>65.716666666666654</v>
      </c>
      <c r="K33" s="128">
        <v>1226.2666000000002</v>
      </c>
      <c r="L33" s="128">
        <v>705</v>
      </c>
      <c r="M33" s="128">
        <v>508.0446</v>
      </c>
      <c r="N33" s="128">
        <v>0</v>
      </c>
      <c r="O33" s="128">
        <v>13.222</v>
      </c>
      <c r="P33" s="128">
        <v>1988.1</v>
      </c>
      <c r="Q33" s="128">
        <v>1410</v>
      </c>
      <c r="R33" s="128">
        <v>578.1</v>
      </c>
      <c r="S33" s="128">
        <v>0</v>
      </c>
      <c r="T33" s="151">
        <v>0</v>
      </c>
      <c r="U33" s="52"/>
      <c r="V33" s="52"/>
      <c r="W33" s="52"/>
      <c r="X33" s="52"/>
      <c r="Y33" s="52"/>
    </row>
    <row r="34" spans="1:25" x14ac:dyDescent="0.2">
      <c r="A34" s="144"/>
      <c r="B34" s="145"/>
      <c r="C34" s="128">
        <f>'[2]anexa 7'!C34/1000</f>
        <v>0</v>
      </c>
      <c r="D34" s="128">
        <f>'[2]anexa 7'!D34/1000</f>
        <v>0</v>
      </c>
      <c r="E34" s="128">
        <f>'[2]anexa 7'!E34/1000</f>
        <v>0</v>
      </c>
      <c r="F34" s="128">
        <f>'[2]anexa 7'!F34/1000</f>
        <v>0</v>
      </c>
      <c r="G34" s="128">
        <f>'[2]anexa 7'!G34/1000</f>
        <v>0</v>
      </c>
      <c r="H34" s="128">
        <f>'[2]anexa 7'!H34/1000</f>
        <v>0</v>
      </c>
      <c r="I34" s="128">
        <f>'[2]anexa 7'!I34/1000</f>
        <v>0</v>
      </c>
      <c r="J34" s="128">
        <f>'[2]anexa 7'!J34/1000</f>
        <v>0</v>
      </c>
      <c r="K34" s="128">
        <f>'[2]anexa 7'!K34/1000</f>
        <v>0</v>
      </c>
      <c r="L34" s="128">
        <f>'[2]anexa 7'!L34/1000</f>
        <v>0</v>
      </c>
      <c r="M34" s="128">
        <f>'[2]anexa 7'!M34/1000</f>
        <v>0</v>
      </c>
      <c r="N34" s="128">
        <f>'[2]anexa 7'!N34/1000</f>
        <v>0</v>
      </c>
      <c r="O34" s="128">
        <f>'[2]anexa 7'!O34/1000</f>
        <v>0</v>
      </c>
      <c r="P34" s="128">
        <f>'[2]anexa 7'!P34/1000</f>
        <v>0</v>
      </c>
      <c r="Q34" s="128">
        <f>'[2]anexa 7'!Q34/1000</f>
        <v>0</v>
      </c>
      <c r="R34" s="128">
        <f>'[2]anexa 7'!R34/1000</f>
        <v>0</v>
      </c>
      <c r="S34" s="128">
        <f>'[2]anexa 7'!S34/1000</f>
        <v>0</v>
      </c>
      <c r="T34" s="151">
        <f>'[2]anexa 7'!T34/1000</f>
        <v>0</v>
      </c>
      <c r="U34" s="52"/>
      <c r="V34" s="52"/>
      <c r="W34" s="52"/>
      <c r="X34" s="52"/>
      <c r="Y34" s="52"/>
    </row>
    <row r="35" spans="1:25" x14ac:dyDescent="0.2">
      <c r="A35" s="144"/>
      <c r="B35" s="145"/>
      <c r="C35" s="128">
        <f>'[2]anexa 7'!C35/1000</f>
        <v>0</v>
      </c>
      <c r="D35" s="128">
        <f>'[2]anexa 7'!D35/1000</f>
        <v>0</v>
      </c>
      <c r="E35" s="128">
        <f>'[2]anexa 7'!E35/1000</f>
        <v>0</v>
      </c>
      <c r="F35" s="128">
        <f>'[2]anexa 7'!F35/1000</f>
        <v>0</v>
      </c>
      <c r="G35" s="128">
        <f>'[2]anexa 7'!G35/1000</f>
        <v>0</v>
      </c>
      <c r="H35" s="128">
        <f>'[2]anexa 7'!H35/1000</f>
        <v>0</v>
      </c>
      <c r="I35" s="128">
        <f>'[2]anexa 7'!I35/1000</f>
        <v>0</v>
      </c>
      <c r="J35" s="128">
        <f>'[2]anexa 7'!J35/1000</f>
        <v>0</v>
      </c>
      <c r="K35" s="128">
        <f>'[2]anexa 7'!K35/1000</f>
        <v>0</v>
      </c>
      <c r="L35" s="128">
        <f>'[2]anexa 7'!L35/1000</f>
        <v>0</v>
      </c>
      <c r="M35" s="128">
        <f>'[2]anexa 7'!M35/1000</f>
        <v>0</v>
      </c>
      <c r="N35" s="128">
        <f>'[2]anexa 7'!N35/1000</f>
        <v>0</v>
      </c>
      <c r="O35" s="128">
        <f>'[2]anexa 7'!O35/1000</f>
        <v>0</v>
      </c>
      <c r="P35" s="128">
        <f>'[2]anexa 7'!P35/1000</f>
        <v>0</v>
      </c>
      <c r="Q35" s="128">
        <f>'[2]anexa 7'!Q35/1000</f>
        <v>0</v>
      </c>
      <c r="R35" s="128">
        <f>'[2]anexa 7'!R35/1000</f>
        <v>0</v>
      </c>
      <c r="S35" s="128">
        <f>'[2]anexa 7'!S35/1000</f>
        <v>0</v>
      </c>
      <c r="T35" s="151">
        <f>'[2]anexa 7'!T35/1000</f>
        <v>0</v>
      </c>
      <c r="U35" s="52"/>
      <c r="V35" s="52"/>
      <c r="W35" s="52"/>
      <c r="X35" s="52"/>
      <c r="Y35" s="52"/>
    </row>
    <row r="36" spans="1:25" x14ac:dyDescent="0.2">
      <c r="A36" s="144"/>
      <c r="B36" s="145"/>
      <c r="C36" s="128">
        <f>'[2]anexa 7'!C36/1000</f>
        <v>0</v>
      </c>
      <c r="D36" s="128">
        <f>'[2]anexa 7'!D36/1000</f>
        <v>0</v>
      </c>
      <c r="E36" s="128">
        <f>'[2]anexa 7'!E36/1000</f>
        <v>0</v>
      </c>
      <c r="F36" s="128">
        <f>'[2]anexa 7'!F36/1000</f>
        <v>0</v>
      </c>
      <c r="G36" s="128">
        <f>'[2]anexa 7'!G36/1000</f>
        <v>0</v>
      </c>
      <c r="H36" s="128">
        <f>'[2]anexa 7'!H36/1000</f>
        <v>0</v>
      </c>
      <c r="I36" s="128">
        <f>'[2]anexa 7'!I36/1000</f>
        <v>0</v>
      </c>
      <c r="J36" s="128">
        <f>'[2]anexa 7'!J36/1000</f>
        <v>0</v>
      </c>
      <c r="K36" s="128">
        <f>'[2]anexa 7'!K36/1000</f>
        <v>0</v>
      </c>
      <c r="L36" s="128">
        <f>'[2]anexa 7'!L36/1000</f>
        <v>0</v>
      </c>
      <c r="M36" s="128">
        <f>'[2]anexa 7'!M36/1000</f>
        <v>0</v>
      </c>
      <c r="N36" s="128">
        <f>'[2]anexa 7'!N36/1000</f>
        <v>0</v>
      </c>
      <c r="O36" s="128">
        <f>'[2]anexa 7'!O36/1000</f>
        <v>0</v>
      </c>
      <c r="P36" s="128">
        <f>'[2]anexa 7'!P36/1000</f>
        <v>0</v>
      </c>
      <c r="Q36" s="128">
        <f>'[2]anexa 7'!Q36/1000</f>
        <v>0</v>
      </c>
      <c r="R36" s="128">
        <f>'[2]anexa 7'!R36/1000</f>
        <v>0</v>
      </c>
      <c r="S36" s="128">
        <f>'[2]anexa 7'!S36/1000</f>
        <v>0</v>
      </c>
      <c r="T36" s="151">
        <f>'[2]anexa 7'!T36/1000</f>
        <v>0</v>
      </c>
      <c r="U36" s="52"/>
      <c r="V36" s="52"/>
      <c r="W36" s="52"/>
      <c r="X36" s="52"/>
      <c r="Y36" s="52"/>
    </row>
    <row r="37" spans="1:25" x14ac:dyDescent="0.2">
      <c r="A37" s="144"/>
      <c r="B37" s="145"/>
      <c r="C37" s="128">
        <f>'[2]anexa 7'!C37/1000</f>
        <v>0</v>
      </c>
      <c r="D37" s="128">
        <f>'[2]anexa 7'!D37/1000</f>
        <v>0</v>
      </c>
      <c r="E37" s="128">
        <f>'[2]anexa 7'!E37/1000</f>
        <v>0</v>
      </c>
      <c r="F37" s="128">
        <f>'[2]anexa 7'!F37/1000</f>
        <v>0</v>
      </c>
      <c r="G37" s="128">
        <f>'[2]anexa 7'!G37/1000</f>
        <v>0</v>
      </c>
      <c r="H37" s="128">
        <f>'[2]anexa 7'!H37/1000</f>
        <v>0</v>
      </c>
      <c r="I37" s="128">
        <f>'[2]anexa 7'!I37/1000</f>
        <v>0</v>
      </c>
      <c r="J37" s="128">
        <f>'[2]anexa 7'!J37/1000</f>
        <v>0</v>
      </c>
      <c r="K37" s="128">
        <f>'[2]anexa 7'!K37/1000</f>
        <v>0</v>
      </c>
      <c r="L37" s="128">
        <f>'[2]anexa 7'!L37/1000</f>
        <v>0</v>
      </c>
      <c r="M37" s="128">
        <f>'[2]anexa 7'!M37/1000</f>
        <v>0</v>
      </c>
      <c r="N37" s="128">
        <f>'[2]anexa 7'!N37/1000</f>
        <v>0</v>
      </c>
      <c r="O37" s="128">
        <f>'[2]anexa 7'!O37/1000</f>
        <v>0</v>
      </c>
      <c r="P37" s="128">
        <f>'[2]anexa 7'!P37/1000</f>
        <v>0</v>
      </c>
      <c r="Q37" s="128">
        <f>'[2]anexa 7'!Q37/1000</f>
        <v>0</v>
      </c>
      <c r="R37" s="128">
        <f>'[2]anexa 7'!R37/1000</f>
        <v>0</v>
      </c>
      <c r="S37" s="128">
        <f>'[2]anexa 7'!S37/1000</f>
        <v>0</v>
      </c>
      <c r="T37" s="151">
        <f>'[2]anexa 7'!T37/1000</f>
        <v>0</v>
      </c>
      <c r="U37" s="52"/>
      <c r="V37" s="52"/>
      <c r="W37" s="52"/>
      <c r="X37" s="52"/>
      <c r="Y37" s="52"/>
    </row>
    <row r="38" spans="1:25" x14ac:dyDescent="0.2">
      <c r="A38" s="946" t="s">
        <v>102</v>
      </c>
      <c r="B38" s="947"/>
      <c r="C38" s="128">
        <v>119694.246</v>
      </c>
      <c r="D38" s="128">
        <v>0</v>
      </c>
      <c r="E38" s="128">
        <v>31335.134120108003</v>
      </c>
      <c r="F38" s="128">
        <v>6085.8782103102667</v>
      </c>
      <c r="G38" s="128">
        <v>4894.2848240215999</v>
      </c>
      <c r="H38" s="128">
        <v>900.5868429553334</v>
      </c>
      <c r="I38" s="128">
        <v>0</v>
      </c>
      <c r="J38" s="128">
        <v>291.00654333333335</v>
      </c>
      <c r="K38" s="128">
        <v>10703.382663395019</v>
      </c>
      <c r="L38" s="128">
        <v>8016.165824021602</v>
      </c>
      <c r="M38" s="128">
        <v>2628.667178973416</v>
      </c>
      <c r="N38" s="128">
        <v>0</v>
      </c>
      <c r="O38" s="128">
        <v>58.549660400000008</v>
      </c>
      <c r="P38" s="128">
        <v>13975.881571054297</v>
      </c>
      <c r="Q38" s="128">
        <v>11138.046824021601</v>
      </c>
      <c r="R38" s="128">
        <v>2837.8347470326958</v>
      </c>
      <c r="S38" s="128">
        <f>'[2]anexa 7'!S38/1000</f>
        <v>0</v>
      </c>
      <c r="T38" s="128">
        <f>'[2]anexa 7'!T38/1000</f>
        <v>0</v>
      </c>
      <c r="U38" s="52"/>
      <c r="V38" s="52"/>
      <c r="W38" s="52"/>
      <c r="X38" s="52"/>
      <c r="Y38" s="52"/>
    </row>
    <row r="39" spans="1:25" x14ac:dyDescent="0.2">
      <c r="A39" s="946" t="s">
        <v>103</v>
      </c>
      <c r="B39" s="947"/>
      <c r="C39" s="128">
        <v>27030</v>
      </c>
      <c r="D39" s="128">
        <v>0</v>
      </c>
      <c r="E39" s="128">
        <v>7076.2689400000008</v>
      </c>
      <c r="F39" s="128">
        <v>1374.3458313333331</v>
      </c>
      <c r="G39" s="128">
        <v>1105.253788</v>
      </c>
      <c r="H39" s="128">
        <v>203.37537666666668</v>
      </c>
      <c r="I39" s="128">
        <v>0</v>
      </c>
      <c r="J39" s="128">
        <v>65.716666666666654</v>
      </c>
      <c r="K39" s="128">
        <v>2417.0955836220173</v>
      </c>
      <c r="L39" s="128">
        <v>1810.2537880000002</v>
      </c>
      <c r="M39" s="128">
        <v>593.61979562201702</v>
      </c>
      <c r="N39" s="128">
        <v>0</v>
      </c>
      <c r="O39" s="128">
        <v>13.222</v>
      </c>
      <c r="P39" s="128">
        <v>3156.1089316323323</v>
      </c>
      <c r="Q39" s="128">
        <v>2515.253788</v>
      </c>
      <c r="R39" s="128">
        <v>640.85514363233267</v>
      </c>
      <c r="S39" s="128">
        <f>'[2]anexa 7'!S39/1000</f>
        <v>0</v>
      </c>
      <c r="T39" s="128">
        <f>'[2]anexa 7'!T39/1000</f>
        <v>0</v>
      </c>
      <c r="U39" s="52"/>
      <c r="V39" s="52"/>
      <c r="W39" s="52"/>
      <c r="X39" s="52"/>
      <c r="Y39" s="52"/>
    </row>
    <row r="40" spans="1:25" ht="12" customHeight="1" x14ac:dyDescent="0.2">
      <c r="A40" s="948" t="s">
        <v>106</v>
      </c>
      <c r="B40" s="949"/>
      <c r="C40" s="128">
        <v>119694.246</v>
      </c>
      <c r="D40" s="128">
        <v>0</v>
      </c>
      <c r="E40" s="128">
        <v>31335.134120108003</v>
      </c>
      <c r="F40" s="128">
        <v>6085.8782103102667</v>
      </c>
      <c r="G40" s="128">
        <v>4894.2848240215999</v>
      </c>
      <c r="H40" s="128">
        <v>900.5868429553334</v>
      </c>
      <c r="I40" s="128">
        <v>0</v>
      </c>
      <c r="J40" s="128">
        <v>291.00654333333335</v>
      </c>
      <c r="K40" s="128">
        <v>10703.382663395019</v>
      </c>
      <c r="L40" s="128">
        <v>8016.165824021602</v>
      </c>
      <c r="M40" s="128">
        <v>2628.667178973416</v>
      </c>
      <c r="N40" s="128">
        <v>0</v>
      </c>
      <c r="O40" s="128">
        <v>58.549660400000008</v>
      </c>
      <c r="P40" s="128">
        <v>13975.881571054297</v>
      </c>
      <c r="Q40" s="128">
        <v>11138.046824021601</v>
      </c>
      <c r="R40" s="128">
        <v>2837.8347470326958</v>
      </c>
      <c r="S40" s="128">
        <f>'[2]anexa 7'!S40/1000</f>
        <v>0</v>
      </c>
      <c r="T40" s="128">
        <f>'[2]anexa 7'!T40/1000</f>
        <v>0</v>
      </c>
      <c r="U40" s="52"/>
      <c r="V40" s="52"/>
      <c r="W40" s="52"/>
      <c r="X40" s="52"/>
      <c r="Y40" s="52"/>
    </row>
    <row r="41" spans="1:25" ht="12" customHeight="1" x14ac:dyDescent="0.2">
      <c r="A41" s="948" t="s">
        <v>107</v>
      </c>
      <c r="B41" s="949"/>
      <c r="C41" s="128">
        <v>27030</v>
      </c>
      <c r="D41" s="128">
        <v>0</v>
      </c>
      <c r="E41" s="128">
        <v>7076.2689400000008</v>
      </c>
      <c r="F41" s="128">
        <v>1374.3458313333331</v>
      </c>
      <c r="G41" s="128">
        <v>1105.253788</v>
      </c>
      <c r="H41" s="128">
        <v>203.37537666666668</v>
      </c>
      <c r="I41" s="128">
        <v>0</v>
      </c>
      <c r="J41" s="128">
        <v>65.716666666666654</v>
      </c>
      <c r="K41" s="128">
        <v>2417.0955836220173</v>
      </c>
      <c r="L41" s="128">
        <v>1810.2537880000002</v>
      </c>
      <c r="M41" s="128">
        <v>593.61979562201702</v>
      </c>
      <c r="N41" s="128">
        <v>0</v>
      </c>
      <c r="O41" s="128">
        <v>13.222</v>
      </c>
      <c r="P41" s="128">
        <v>3156.1089316323323</v>
      </c>
      <c r="Q41" s="128">
        <v>2515.253788</v>
      </c>
      <c r="R41" s="128">
        <v>640.85514363233267</v>
      </c>
      <c r="S41" s="128">
        <f>'[2]anexa 7'!S41/1000</f>
        <v>0</v>
      </c>
      <c r="T41" s="128">
        <f>'[2]anexa 7'!T41/1000</f>
        <v>0</v>
      </c>
      <c r="U41" s="52"/>
      <c r="V41" s="52"/>
      <c r="W41" s="52"/>
      <c r="X41" s="52"/>
      <c r="Y41" s="52"/>
    </row>
    <row r="42" spans="1:25" x14ac:dyDescent="0.2"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52"/>
      <c r="V42" s="52"/>
      <c r="W42" s="52"/>
      <c r="X42" s="52"/>
      <c r="Y42" s="52"/>
    </row>
    <row r="43" spans="1:25" x14ac:dyDescent="0.2"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52"/>
      <c r="V43" s="52"/>
      <c r="W43" s="52"/>
      <c r="X43" s="52"/>
      <c r="Y43" s="52"/>
    </row>
    <row r="44" spans="1:25" ht="12.75" x14ac:dyDescent="0.2">
      <c r="A44" s="1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52"/>
      <c r="V44" s="52"/>
      <c r="W44" s="52"/>
      <c r="X44" s="52"/>
      <c r="Y44" s="52"/>
    </row>
    <row r="45" spans="1:25" ht="12.75" x14ac:dyDescent="0.2">
      <c r="B45" s="1" t="s">
        <v>373</v>
      </c>
      <c r="C45" s="1"/>
      <c r="D45" s="1"/>
      <c r="E45" s="1"/>
      <c r="F45" s="28"/>
      <c r="G45" s="1" t="s">
        <v>374</v>
      </c>
      <c r="H45" s="1"/>
      <c r="I45" s="1"/>
      <c r="J45" s="1"/>
      <c r="U45" s="52"/>
      <c r="V45" s="52"/>
      <c r="W45" s="52"/>
      <c r="X45" s="52"/>
      <c r="Y45" s="52"/>
    </row>
    <row r="46" spans="1:25" ht="12.75" x14ac:dyDescent="0.2">
      <c r="A46" s="52"/>
      <c r="B46" s="1" t="s">
        <v>375</v>
      </c>
      <c r="C46" s="1"/>
      <c r="D46" s="1"/>
      <c r="E46" s="1"/>
      <c r="F46" s="28"/>
      <c r="G46" s="1" t="s">
        <v>376</v>
      </c>
      <c r="H46" s="1"/>
      <c r="I46" s="1"/>
      <c r="J46" s="1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</row>
    <row r="47" spans="1:25" x14ac:dyDescent="0.2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</row>
    <row r="48" spans="1:25" x14ac:dyDescent="0.2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</row>
    <row r="49" spans="1:25" x14ac:dyDescent="0.2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</row>
    <row r="50" spans="1:25" x14ac:dyDescent="0.2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</row>
    <row r="51" spans="1:25" x14ac:dyDescent="0.2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</row>
    <row r="52" spans="1:25" x14ac:dyDescent="0.2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</row>
    <row r="53" spans="1:25" x14ac:dyDescent="0.2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</row>
    <row r="54" spans="1:25" x14ac:dyDescent="0.2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</row>
  </sheetData>
  <mergeCells count="21">
    <mergeCell ref="A38:B38"/>
    <mergeCell ref="A39:B39"/>
    <mergeCell ref="A40:B40"/>
    <mergeCell ref="A41:B41"/>
    <mergeCell ref="A10:B10"/>
    <mergeCell ref="A11:T11"/>
    <mergeCell ref="A23:B23"/>
    <mergeCell ref="A24:B24"/>
    <mergeCell ref="A25:T25"/>
    <mergeCell ref="A27:A28"/>
    <mergeCell ref="A31:A32"/>
    <mergeCell ref="F8:J8"/>
    <mergeCell ref="K8:O8"/>
    <mergeCell ref="P8:T8"/>
    <mergeCell ref="B1:E1"/>
    <mergeCell ref="B2:E2"/>
    <mergeCell ref="B3:E3"/>
    <mergeCell ref="A8:B9"/>
    <mergeCell ref="C8:C9"/>
    <mergeCell ref="D8:D9"/>
    <mergeCell ref="E8:E9"/>
  </mergeCells>
  <pageMargins left="0.7" right="0.7" top="0.75" bottom="0.75" header="0.3" footer="0.3"/>
  <pageSetup orientation="landscape" verticalDpi="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4" workbookViewId="0">
      <selection activeCell="E8" sqref="E8"/>
    </sheetView>
  </sheetViews>
  <sheetFormatPr defaultRowHeight="12.75" x14ac:dyDescent="0.2"/>
  <cols>
    <col min="1" max="1" width="9.140625" style="1"/>
    <col min="2" max="2" width="39.5703125" style="1" bestFit="1" customWidth="1"/>
    <col min="3" max="3" width="7.140625" style="1" customWidth="1"/>
    <col min="4" max="4" width="10" style="1" customWidth="1"/>
    <col min="5" max="5" width="9.28515625" style="1" customWidth="1"/>
    <col min="6" max="7" width="8" style="1" customWidth="1"/>
    <col min="8" max="8" width="8.28515625" style="1" customWidth="1"/>
    <col min="9" max="9" width="7" style="1" customWidth="1"/>
    <col min="10" max="16384" width="9.140625" style="1"/>
  </cols>
  <sheetData>
    <row r="1" spans="1:11" x14ac:dyDescent="0.2">
      <c r="A1" s="916" t="s">
        <v>0</v>
      </c>
      <c r="B1" s="916"/>
      <c r="C1" s="916"/>
      <c r="D1" s="916"/>
    </row>
    <row r="2" spans="1:11" x14ac:dyDescent="0.2">
      <c r="A2" s="916" t="s">
        <v>1</v>
      </c>
      <c r="B2" s="916"/>
      <c r="C2" s="916"/>
      <c r="D2" s="916"/>
      <c r="H2" s="2" t="s">
        <v>541</v>
      </c>
      <c r="I2" s="2"/>
    </row>
    <row r="3" spans="1:11" x14ac:dyDescent="0.2">
      <c r="A3" s="916" t="s">
        <v>2</v>
      </c>
      <c r="B3" s="916"/>
      <c r="C3" s="916"/>
      <c r="D3" s="916"/>
    </row>
    <row r="5" spans="1:11" x14ac:dyDescent="0.2">
      <c r="C5" s="964"/>
      <c r="D5" s="964"/>
      <c r="E5" s="964"/>
      <c r="F5" s="964"/>
      <c r="G5" s="964"/>
      <c r="H5" s="964"/>
      <c r="I5" s="964"/>
    </row>
    <row r="6" spans="1:11" ht="15.75" x14ac:dyDescent="0.25">
      <c r="C6" s="965" t="s">
        <v>540</v>
      </c>
      <c r="D6" s="965"/>
      <c r="E6" s="965"/>
      <c r="F6" s="965"/>
      <c r="G6" s="965"/>
      <c r="H6" s="965"/>
      <c r="I6" s="965"/>
    </row>
    <row r="7" spans="1:11" ht="15.75" x14ac:dyDescent="0.25">
      <c r="E7" s="38" t="s">
        <v>684</v>
      </c>
    </row>
    <row r="8" spans="1:11" ht="13.5" thickBot="1" x14ac:dyDescent="0.25"/>
    <row r="9" spans="1:11" ht="13.5" thickBot="1" x14ac:dyDescent="0.25">
      <c r="A9" s="959" t="s">
        <v>238</v>
      </c>
      <c r="B9" s="921" t="s">
        <v>239</v>
      </c>
      <c r="C9" s="924" t="s">
        <v>240</v>
      </c>
      <c r="D9" s="962" t="s">
        <v>682</v>
      </c>
      <c r="E9" s="963"/>
      <c r="F9" s="927" t="s">
        <v>683</v>
      </c>
      <c r="G9" s="929"/>
      <c r="H9" s="927">
        <v>2016</v>
      </c>
      <c r="I9" s="929"/>
      <c r="J9" s="927">
        <v>2017</v>
      </c>
      <c r="K9" s="929"/>
    </row>
    <row r="10" spans="1:11" ht="13.5" thickBot="1" x14ac:dyDescent="0.25">
      <c r="A10" s="960"/>
      <c r="B10" s="922"/>
      <c r="C10" s="925"/>
      <c r="D10" s="962" t="s">
        <v>241</v>
      </c>
      <c r="E10" s="963"/>
      <c r="F10" s="927" t="s">
        <v>242</v>
      </c>
      <c r="G10" s="929"/>
      <c r="H10" s="927" t="s">
        <v>242</v>
      </c>
      <c r="I10" s="929"/>
      <c r="J10" s="927" t="s">
        <v>242</v>
      </c>
      <c r="K10" s="929"/>
    </row>
    <row r="11" spans="1:11" ht="26.25" thickBot="1" x14ac:dyDescent="0.25">
      <c r="A11" s="961"/>
      <c r="B11" s="923"/>
      <c r="C11" s="926"/>
      <c r="D11" s="8" t="s">
        <v>243</v>
      </c>
      <c r="E11" s="3" t="s">
        <v>244</v>
      </c>
      <c r="F11" s="7" t="s">
        <v>245</v>
      </c>
      <c r="G11" s="3" t="s">
        <v>244</v>
      </c>
      <c r="H11" s="7" t="s">
        <v>245</v>
      </c>
      <c r="I11" s="3" t="s">
        <v>244</v>
      </c>
      <c r="J11" s="7" t="s">
        <v>245</v>
      </c>
      <c r="K11" s="3" t="s">
        <v>244</v>
      </c>
    </row>
    <row r="12" spans="1:11" ht="13.5" thickBot="1" x14ac:dyDescent="0.25">
      <c r="A12" s="227" t="s">
        <v>30</v>
      </c>
      <c r="B12" s="174" t="s">
        <v>4</v>
      </c>
      <c r="C12" s="174" t="s">
        <v>21</v>
      </c>
      <c r="D12" s="174" t="s">
        <v>17</v>
      </c>
      <c r="E12" s="174" t="s">
        <v>18</v>
      </c>
      <c r="F12" s="174" t="s">
        <v>24</v>
      </c>
      <c r="G12" s="174" t="s">
        <v>19</v>
      </c>
      <c r="H12" s="174" t="s">
        <v>261</v>
      </c>
      <c r="I12" s="174" t="s">
        <v>246</v>
      </c>
      <c r="J12" s="174" t="s">
        <v>26</v>
      </c>
      <c r="K12" s="174" t="s">
        <v>31</v>
      </c>
    </row>
    <row r="13" spans="1:11" ht="25.5" x14ac:dyDescent="0.2">
      <c r="A13" s="229" t="s">
        <v>247</v>
      </c>
      <c r="B13" s="230" t="s">
        <v>248</v>
      </c>
      <c r="C13" s="231"/>
      <c r="D13" s="58"/>
      <c r="E13" s="58"/>
      <c r="F13" s="58"/>
      <c r="G13" s="58"/>
      <c r="H13" s="58"/>
      <c r="I13" s="58"/>
      <c r="J13" s="58"/>
      <c r="K13" s="232"/>
    </row>
    <row r="14" spans="1:11" x14ac:dyDescent="0.2">
      <c r="A14" s="233" t="s">
        <v>4</v>
      </c>
      <c r="B14" s="186" t="s">
        <v>249</v>
      </c>
      <c r="C14" s="48"/>
      <c r="D14" s="228"/>
      <c r="E14" s="228" t="s">
        <v>154</v>
      </c>
      <c r="F14" s="50"/>
      <c r="G14" s="50"/>
      <c r="H14" s="50"/>
      <c r="I14" s="50"/>
      <c r="J14" s="50"/>
      <c r="K14" s="234"/>
    </row>
    <row r="15" spans="1:11" x14ac:dyDescent="0.2">
      <c r="A15" s="233" t="s">
        <v>21</v>
      </c>
      <c r="B15" s="186" t="s">
        <v>250</v>
      </c>
      <c r="C15" s="48"/>
      <c r="D15" s="228" t="s">
        <v>154</v>
      </c>
      <c r="E15" s="228" t="s">
        <v>154</v>
      </c>
      <c r="F15" s="50"/>
      <c r="G15" s="50"/>
      <c r="H15" s="50"/>
      <c r="I15" s="50"/>
      <c r="J15" s="50"/>
      <c r="K15" s="234"/>
    </row>
    <row r="16" spans="1:11" x14ac:dyDescent="0.2">
      <c r="A16" s="233" t="s">
        <v>17</v>
      </c>
      <c r="B16" s="186" t="s">
        <v>251</v>
      </c>
      <c r="C16" s="48"/>
      <c r="D16" s="228" t="s">
        <v>154</v>
      </c>
      <c r="E16" s="228" t="s">
        <v>154</v>
      </c>
      <c r="F16" s="50"/>
      <c r="G16" s="50"/>
      <c r="H16" s="50"/>
      <c r="I16" s="50"/>
      <c r="J16" s="50"/>
      <c r="K16" s="234"/>
    </row>
    <row r="17" spans="1:13" x14ac:dyDescent="0.2">
      <c r="A17" s="233" t="s">
        <v>18</v>
      </c>
      <c r="B17" s="182" t="s">
        <v>252</v>
      </c>
      <c r="C17" s="48"/>
      <c r="D17" s="228" t="s">
        <v>154</v>
      </c>
      <c r="E17" s="228" t="s">
        <v>154</v>
      </c>
      <c r="F17" s="50"/>
      <c r="G17" s="50"/>
      <c r="H17" s="50"/>
      <c r="I17" s="50"/>
      <c r="J17" s="50"/>
      <c r="K17" s="234"/>
    </row>
    <row r="18" spans="1:13" ht="25.5" x14ac:dyDescent="0.2">
      <c r="A18" s="67" t="s">
        <v>253</v>
      </c>
      <c r="B18" s="188" t="s">
        <v>254</v>
      </c>
      <c r="C18" s="48"/>
      <c r="D18" s="228"/>
      <c r="E18" s="228"/>
      <c r="F18" s="50"/>
      <c r="G18" s="50"/>
      <c r="H18" s="50"/>
      <c r="I18" s="50"/>
      <c r="J18" s="50"/>
      <c r="K18" s="234"/>
    </row>
    <row r="19" spans="1:13" x14ac:dyDescent="0.2">
      <c r="A19" s="233" t="s">
        <v>4</v>
      </c>
      <c r="B19" s="186" t="s">
        <v>255</v>
      </c>
      <c r="C19" s="48"/>
      <c r="D19" s="228" t="s">
        <v>154</v>
      </c>
      <c r="E19" s="228" t="s">
        <v>154</v>
      </c>
      <c r="F19" s="50"/>
      <c r="G19" s="50"/>
      <c r="H19" s="50"/>
      <c r="I19" s="50"/>
      <c r="J19" s="50"/>
      <c r="K19" s="234"/>
    </row>
    <row r="20" spans="1:13" x14ac:dyDescent="0.2">
      <c r="A20" s="233" t="s">
        <v>21</v>
      </c>
      <c r="B20" s="186" t="s">
        <v>256</v>
      </c>
      <c r="C20" s="48"/>
      <c r="D20" s="228" t="s">
        <v>154</v>
      </c>
      <c r="E20" s="228" t="s">
        <v>154</v>
      </c>
      <c r="F20" s="50"/>
      <c r="G20" s="50"/>
      <c r="H20" s="50"/>
      <c r="I20" s="50"/>
      <c r="J20" s="50"/>
      <c r="K20" s="234"/>
    </row>
    <row r="21" spans="1:13" x14ac:dyDescent="0.2">
      <c r="A21" s="233" t="s">
        <v>17</v>
      </c>
      <c r="B21" s="186" t="s">
        <v>257</v>
      </c>
      <c r="C21" s="48"/>
      <c r="D21" s="228" t="s">
        <v>154</v>
      </c>
      <c r="E21" s="228" t="s">
        <v>154</v>
      </c>
      <c r="F21" s="50"/>
      <c r="G21" s="50"/>
      <c r="H21" s="50"/>
      <c r="I21" s="50"/>
      <c r="J21" s="50"/>
      <c r="K21" s="234"/>
    </row>
    <row r="22" spans="1:13" x14ac:dyDescent="0.2">
      <c r="A22" s="233" t="s">
        <v>18</v>
      </c>
      <c r="B22" s="182" t="s">
        <v>258</v>
      </c>
      <c r="C22" s="48"/>
      <c r="D22" s="228" t="s">
        <v>154</v>
      </c>
      <c r="E22" s="228" t="s">
        <v>154</v>
      </c>
      <c r="F22" s="50"/>
      <c r="G22" s="50"/>
      <c r="H22" s="50"/>
      <c r="I22" s="50"/>
      <c r="J22" s="50"/>
      <c r="K22" s="234"/>
    </row>
    <row r="23" spans="1:13" ht="13.5" thickBot="1" x14ac:dyDescent="0.25">
      <c r="A23" s="235" t="s">
        <v>259</v>
      </c>
      <c r="B23" s="47" t="s">
        <v>260</v>
      </c>
      <c r="C23" s="59"/>
      <c r="D23" s="60">
        <f t="shared" ref="D23:J23" si="0">SUM(D13+D18)</f>
        <v>0</v>
      </c>
      <c r="E23" s="60">
        <f t="shared" si="0"/>
        <v>0</v>
      </c>
      <c r="F23" s="60">
        <f t="shared" si="0"/>
        <v>0</v>
      </c>
      <c r="G23" s="60">
        <f t="shared" si="0"/>
        <v>0</v>
      </c>
      <c r="H23" s="60">
        <f t="shared" si="0"/>
        <v>0</v>
      </c>
      <c r="I23" s="60">
        <f t="shared" si="0"/>
        <v>0</v>
      </c>
      <c r="J23" s="60">
        <f t="shared" si="0"/>
        <v>0</v>
      </c>
      <c r="K23" s="236"/>
    </row>
    <row r="25" spans="1:13" x14ac:dyDescent="0.2">
      <c r="B25" s="27" t="s">
        <v>262</v>
      </c>
    </row>
    <row r="27" spans="1:13" x14ac:dyDescent="0.2">
      <c r="B27" s="62" t="s">
        <v>373</v>
      </c>
      <c r="F27" s="28"/>
      <c r="H27" s="1" t="s">
        <v>374</v>
      </c>
      <c r="I27" s="40"/>
      <c r="J27" s="51"/>
      <c r="L27" s="51"/>
      <c r="M27" s="51"/>
    </row>
    <row r="28" spans="1:13" x14ac:dyDescent="0.2">
      <c r="B28" s="62" t="s">
        <v>375</v>
      </c>
      <c r="F28" s="28"/>
      <c r="H28" s="1" t="s">
        <v>376</v>
      </c>
      <c r="I28" s="40"/>
      <c r="J28" s="51"/>
      <c r="L28" s="51"/>
      <c r="M28" s="51"/>
    </row>
  </sheetData>
  <mergeCells count="16">
    <mergeCell ref="J9:K9"/>
    <mergeCell ref="D10:E10"/>
    <mergeCell ref="F10:G10"/>
    <mergeCell ref="H10:I10"/>
    <mergeCell ref="J10:K10"/>
    <mergeCell ref="A1:D1"/>
    <mergeCell ref="A2:D2"/>
    <mergeCell ref="A3:D3"/>
    <mergeCell ref="A9:A11"/>
    <mergeCell ref="B9:B11"/>
    <mergeCell ref="C9:C11"/>
    <mergeCell ref="D9:E9"/>
    <mergeCell ref="C5:I5"/>
    <mergeCell ref="C6:I6"/>
    <mergeCell ref="F9:G9"/>
    <mergeCell ref="H9:I9"/>
  </mergeCells>
  <pageMargins left="0.7" right="0.7" top="0.75" bottom="0.75" header="0.3" footer="0.3"/>
  <pageSetup orientation="landscape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anexa nr.4pozitii modif.</vt:lpstr>
      <vt:lpstr>anexa 4 lei (2)</vt:lpstr>
      <vt:lpstr>anexa 1</vt:lpstr>
      <vt:lpstr>anexa 2</vt:lpstr>
      <vt:lpstr>anexa 3</vt:lpstr>
      <vt:lpstr>anexa nr.4</vt:lpstr>
      <vt:lpstr>anexa 6</vt:lpstr>
      <vt:lpstr>anexa 7</vt:lpstr>
      <vt:lpstr>anexa 8</vt:lpstr>
      <vt:lpstr>anexa 4 lei</vt:lpstr>
      <vt:lpstr>a.4.Centralizat</vt:lpstr>
      <vt:lpstr>a.4.Timisoara</vt:lpstr>
      <vt:lpstr>a.4.Loc.TM</vt:lpstr>
      <vt:lpstr>a.4.Deta</vt:lpstr>
      <vt:lpstr>a.4.Jimbolia</vt:lpstr>
      <vt:lpstr>a.4.Sannicolau</vt:lpstr>
      <vt:lpstr>a.4.Faget</vt:lpstr>
      <vt:lpstr>a.4.Buzias</vt:lpstr>
      <vt:lpstr>corelatii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 Dobrosavlevici</dc:creator>
  <cp:lastModifiedBy>rozalia.giuchici</cp:lastModifiedBy>
  <cp:lastPrinted>2015-05-20T07:37:14Z</cp:lastPrinted>
  <dcterms:created xsi:type="dcterms:W3CDTF">2013-02-21T09:46:33Z</dcterms:created>
  <dcterms:modified xsi:type="dcterms:W3CDTF">2015-05-20T07:37:37Z</dcterms:modified>
</cp:coreProperties>
</file>